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7.xml" ContentType="application/vnd.openxmlformats-officedocument.drawing+xml"/>
  <Override PartName="/xl/chartsheets/sheet9.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chartsheets/sheet10.xml" ContentType="application/vnd.openxmlformats-officedocument.spreadsheetml.chart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chartsheets/sheet11.xml" ContentType="application/vnd.openxmlformats-officedocument.spreadsheetml.chartsheet+xml"/>
  <Override PartName="/xl/drawings/drawing2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comments38.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24.xml" ContentType="application/vnd.openxmlformats-officedocument.drawing+xml"/>
  <Override PartName="/xl/chartsheets/sheet12.xml" ContentType="application/vnd.openxmlformats-officedocument.spreadsheetml.chartsheet+xml"/>
  <Override PartName="/xl/drawings/drawing25.xml" ContentType="application/vnd.openxmlformats-officedocument.drawing+xml"/>
  <Override PartName="/xl/worksheets/sheet36.xml" ContentType="application/vnd.openxmlformats-officedocument.spreadsheetml.worksheet+xml"/>
  <Override PartName="/xl/drawings/drawing26.xml" ContentType="application/vnd.openxmlformats-officedocument.drawing+xml"/>
  <Override PartName="/xl/worksheets/sheet37.xml" ContentType="application/vnd.openxmlformats-officedocument.spreadsheetml.worksheet+xml"/>
  <Override PartName="/xl/drawings/drawing27.xml" ContentType="application/vnd.openxmlformats-officedocument.drawing+xml"/>
  <Override PartName="/xl/chartsheets/sheet13.xml" ContentType="application/vnd.openxmlformats-officedocument.spreadsheetml.chartsheet+xml"/>
  <Override PartName="/xl/drawings/drawing28.xml" ContentType="application/vnd.openxmlformats-officedocument.drawing+xml"/>
  <Override PartName="/xl/worksheets/sheet38.xml" ContentType="application/vnd.openxmlformats-officedocument.spreadsheetml.worksheet+xml"/>
  <Override PartName="/xl/drawings/drawing29.xml" ContentType="application/vnd.openxmlformats-officedocument.drawing+xml"/>
  <Override PartName="/xl/worksheets/sheet39.xml" ContentType="application/vnd.openxmlformats-officedocument.spreadsheetml.worksheet+xml"/>
  <Override PartName="/xl/drawings/drawing30.xml" ContentType="application/vnd.openxmlformats-officedocument.drawing+xml"/>
  <Override PartName="/xl/chartsheets/sheet14.xml" ContentType="application/vnd.openxmlformats-officedocument.spreadsheetml.chartsheet+xml"/>
  <Override PartName="/xl/drawings/drawing31.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32.xml" ContentType="application/vnd.openxmlformats-officedocument.drawing+xml"/>
  <Override PartName="/xl/chartsheets/sheet15.xml" ContentType="application/vnd.openxmlformats-officedocument.spreadsheetml.chartsheet+xml"/>
  <Override PartName="/xl/drawings/drawing33.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34.xml" ContentType="application/vnd.openxmlformats-officedocument.drawing+xml"/>
  <Override PartName="/xl/chartsheets/sheet16.xml" ContentType="application/vnd.openxmlformats-officedocument.spreadsheetml.chartsheet+xml"/>
  <Override PartName="/xl/drawings/drawing35.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36.xml" ContentType="application/vnd.openxmlformats-officedocument.drawing+xml"/>
  <Override PartName="/xl/chartsheets/sheet17.xml" ContentType="application/vnd.openxmlformats-officedocument.spreadsheetml.chartsheet+xml"/>
  <Override PartName="/xl/drawings/drawing37.xml" ContentType="application/vnd.openxmlformats-officedocument.drawing+xml"/>
  <Override PartName="/xl/worksheets/sheet54.xml" ContentType="application/vnd.openxmlformats-officedocument.spreadsheetml.worksheet+xml"/>
  <Override PartName="/xl/drawings/drawing38.xml" ContentType="application/vnd.openxmlformats-officedocument.drawing+xml"/>
  <Override PartName="/xl/worksheets/sheet55.xml" ContentType="application/vnd.openxmlformats-officedocument.spreadsheetml.worksheet+xml"/>
  <Override PartName="/xl/drawings/drawing39.xml" ContentType="application/vnd.openxmlformats-officedocument.drawing+xml"/>
  <Override PartName="/xl/chartsheets/sheet18.xml" ContentType="application/vnd.openxmlformats-officedocument.spreadsheetml.chartsheet+xml"/>
  <Override PartName="/xl/drawings/drawing40.xml" ContentType="application/vnd.openxmlformats-officedocument.drawing+xml"/>
  <Override PartName="/xl/worksheets/sheet56.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95" windowWidth="9690" windowHeight="4245" tabRatio="935" firstSheet="4" activeTab="14"/>
  </bookViews>
  <sheets>
    <sheet name="Intro" sheetId="1" r:id="rId1"/>
    <sheet name="gdp" sheetId="2" r:id="rId2"/>
    <sheet name="graf1" sheetId="3" r:id="rId3"/>
    <sheet name="Figure 1" sheetId="4" r:id="rId4"/>
    <sheet name="Employment" sheetId="5" r:id="rId5"/>
    <sheet name="graf2" sheetId="6" r:id="rId6"/>
    <sheet name="Figure 2" sheetId="7" r:id="rId7"/>
    <sheet name="Unemployment" sheetId="8" r:id="rId8"/>
    <sheet name="graf3" sheetId="9" r:id="rId9"/>
    <sheet name="Figure 3" sheetId="10" r:id="rId10"/>
    <sheet name="average_years_of_schooling" sheetId="11" r:id="rId11"/>
    <sheet name="wages_relative_to_least_skilled" sheetId="12" r:id="rId12"/>
    <sheet name="graf 4" sheetId="13" r:id="rId13"/>
    <sheet name="Figure 4" sheetId="14" r:id="rId14"/>
    <sheet name="low- and high-skilled" sheetId="15" r:id="rId15"/>
    <sheet name="graf 5" sheetId="16" r:id="rId16"/>
    <sheet name="Figure 5" sheetId="17" r:id="rId17"/>
    <sheet name="human capital imperfect subst" sheetId="18" r:id="rId18"/>
    <sheet name="capital pim method" sheetId="19" r:id="rId19"/>
    <sheet name="graf 6" sheetId="20" r:id="rId20"/>
    <sheet name="Figure 6" sheetId="21" r:id="rId21"/>
    <sheet name="private_sector_capital_count" sheetId="22" r:id="rId22"/>
    <sheet name="capital mpk method" sheetId="23" r:id="rId23"/>
    <sheet name="graf 8" sheetId="24" r:id="rId24"/>
    <sheet name="Figure 8" sheetId="25" r:id="rId25"/>
    <sheet name="graf 9" sheetId="26" r:id="rId26"/>
    <sheet name="Figure 9" sheetId="27" r:id="rId27"/>
    <sheet name="Labor and capital income share" sheetId="28" r:id="rId28"/>
    <sheet name="graf 7" sheetId="29" r:id="rId29"/>
    <sheet name="Figure 7" sheetId="30" r:id="rId30"/>
    <sheet name="labor costs" sheetId="31" r:id="rId31"/>
    <sheet name="growth accounting" sheetId="32" r:id="rId32"/>
    <sheet name="graf 10" sheetId="33" r:id="rId33"/>
    <sheet name="Figure 10" sheetId="34" r:id="rId34"/>
    <sheet name="graf 11" sheetId="35" r:id="rId35"/>
    <sheet name="Figure 11" sheetId="36" r:id="rId36"/>
    <sheet name="population projection" sheetId="37" r:id="rId37"/>
    <sheet name="labor and education projection" sheetId="38" r:id="rId38"/>
    <sheet name="educ transition projections" sheetId="39" r:id="rId39"/>
    <sheet name="base proj ave y sch" sheetId="40" r:id="rId40"/>
    <sheet name="calculation skill bias" sheetId="41" r:id="rId41"/>
    <sheet name="proj ave wage rel unskilled" sheetId="42" r:id="rId42"/>
    <sheet name="projection CES-weighted comp" sheetId="43" r:id="rId43"/>
    <sheet name="base projection" sheetId="44" r:id="rId44"/>
    <sheet name="growth accounting projection" sheetId="45" r:id="rId45"/>
    <sheet name="graf 12" sheetId="46" r:id="rId46"/>
    <sheet name="Figure 12" sheetId="47" r:id="rId47"/>
    <sheet name="projected wages" sheetId="48" r:id="rId48"/>
    <sheet name="graf 13" sheetId="49" r:id="rId49"/>
    <sheet name="Figure 13" sheetId="50" r:id="rId50"/>
    <sheet name="projected investment" sheetId="51" r:id="rId51"/>
    <sheet name="graf 14" sheetId="52" r:id="rId52"/>
    <sheet name="Figure 14" sheetId="53" r:id="rId53"/>
    <sheet name="help sheet sens analysis 1" sheetId="54" r:id="rId54"/>
    <sheet name="help sheet sens analysis 2" sheetId="55" r:id="rId55"/>
    <sheet name="help sheet sens analysis 3" sheetId="56" r:id="rId56"/>
    <sheet name="help sheet sens analysis 4" sheetId="57" r:id="rId57"/>
    <sheet name="help sheet sens analysis 5" sheetId="58" r:id="rId58"/>
    <sheet name="help sheet sens analysis 6" sheetId="59" r:id="rId59"/>
    <sheet name="Sensitivity analysis projection" sheetId="60" r:id="rId60"/>
    <sheet name="past_eu_growth" sheetId="61" r:id="rId61"/>
    <sheet name="graf 15" sheetId="62" r:id="rId62"/>
    <sheet name="Figure 15" sheetId="63" r:id="rId63"/>
    <sheet name="pop_oecd_long_past" sheetId="64" r:id="rId64"/>
    <sheet name="gdp_pc_oecd_long_past" sheetId="65" r:id="rId65"/>
    <sheet name="graf 16" sheetId="66" r:id="rId66"/>
    <sheet name="Figure 16" sheetId="67" r:id="rId67"/>
    <sheet name="gdp_pc_ceec_long_past" sheetId="68" r:id="rId68"/>
    <sheet name="graf 17" sheetId="69" r:id="rId69"/>
    <sheet name="Figure 17" sheetId="70" r:id="rId70"/>
    <sheet name="projected convergence" sheetId="71" r:id="rId71"/>
    <sheet name="graf 18" sheetId="72" r:id="rId72"/>
    <sheet name="Figure 18" sheetId="73" r:id="rId73"/>
    <sheet name="no further capital deepening" sheetId="74" r:id="rId74"/>
  </sheets>
  <externalReferences>
    <externalReference r:id="rId77"/>
    <externalReference r:id="rId78"/>
    <externalReference r:id="rId79"/>
  </externalReferences>
  <definedNames>
    <definedName name="_xlnm.Print_Area" localSheetId="40">'calculation skill bias'!$A$1:$J$43</definedName>
    <definedName name="_xlnm.Print_Area" localSheetId="31">'growth accounting'!$A$1:$K$115</definedName>
    <definedName name="_xlnm.Print_Area" localSheetId="55">'help sheet sens analysis 3'!$A$1:$K$115</definedName>
    <definedName name="_xlnm.Print_Area" localSheetId="56">'help sheet sens analysis 4'!$A$1:$K$115</definedName>
    <definedName name="_xlnm.Print_Area" localSheetId="41">'proj ave wage rel unskilled'!$A$3:$H$23</definedName>
    <definedName name="_xlnm.Print_Area" localSheetId="59">'Sensitivity analysis projection'!$A$1:$J$35</definedName>
    <definedName name="_xlnm.Print_Area" localSheetId="11">'wages_relative_to_least_skilled'!$A$2:$J$33</definedName>
  </definedNames>
  <calcPr fullCalcOnLoad="1"/>
</workbook>
</file>

<file path=xl/comments38.xml><?xml version="1.0" encoding="utf-8"?>
<comments xmlns="http://schemas.openxmlformats.org/spreadsheetml/2006/main">
  <authors>
    <author>Egbert Jongen</author>
  </authors>
  <commentList>
    <comment ref="B3" authorId="0">
      <text>
        <r>
          <rPr>
            <b/>
            <sz val="8"/>
            <rFont val="Tahoma"/>
            <family val="0"/>
          </rPr>
          <t>Egbert Jongen:</t>
        </r>
        <r>
          <rPr>
            <sz val="8"/>
            <rFont val="Tahoma"/>
            <family val="0"/>
          </rPr>
          <t xml:space="preserve">
Note that this is employment in persons!
</t>
        </r>
      </text>
    </comment>
  </commentList>
</comments>
</file>

<file path=xl/sharedStrings.xml><?xml version="1.0" encoding="utf-8"?>
<sst xmlns="http://schemas.openxmlformats.org/spreadsheetml/2006/main" count="1170" uniqueCount="523">
  <si>
    <t>Employment</t>
  </si>
  <si>
    <t>Year</t>
  </si>
  <si>
    <t>Growth rate in employment</t>
  </si>
  <si>
    <t>Employment (full time equivalents)</t>
  </si>
  <si>
    <t>Unemployment (persons)</t>
  </si>
  <si>
    <t>Registered unemployed</t>
  </si>
  <si>
    <t>Unemployment LFS</t>
  </si>
  <si>
    <t>Registered unemployed/1000</t>
  </si>
  <si>
    <t>Unemployment LFS/1000</t>
  </si>
  <si>
    <t>GDP 1972 = 4021/6020 * (1.089) * (1.055) * GDP 1992</t>
  </si>
  <si>
    <t>depreciation rate</t>
  </si>
  <si>
    <t>change in capital from growth accounting</t>
  </si>
  <si>
    <t>real investment (in 1995 SIT)</t>
  </si>
  <si>
    <t>GDP 1972 (in 1995 SIT)</t>
  </si>
  <si>
    <t>real GDP (in 1995 SIT)</t>
  </si>
  <si>
    <t>Labor and capital income share</t>
  </si>
  <si>
    <t>year</t>
  </si>
  <si>
    <t>Compensation of employees as % of GDP</t>
  </si>
  <si>
    <t>share of subsidies in GDP</t>
  </si>
  <si>
    <t>share of indirect taxes in GDP</t>
  </si>
  <si>
    <t>Employment in FTE</t>
  </si>
  <si>
    <t>Self-employed</t>
  </si>
  <si>
    <t>Note: all self-employed are assumed to work fulltime</t>
  </si>
  <si>
    <t>self-employed/non self-employed</t>
  </si>
  <si>
    <t>Compensation of employees and self-employed</t>
  </si>
  <si>
    <t>labor and capital income share in GDP</t>
  </si>
  <si>
    <t>labor income share</t>
  </si>
  <si>
    <t>capital income share</t>
  </si>
  <si>
    <t>growth in real GDP (SP)</t>
  </si>
  <si>
    <t>growth in labor</t>
  </si>
  <si>
    <t>growth in tfp</t>
  </si>
  <si>
    <t>capital growth</t>
  </si>
  <si>
    <t>capital stock index (1986=1)</t>
  </si>
  <si>
    <t>capital-output ratio</t>
  </si>
  <si>
    <t>Capital from the marginal product = 'real' user cost of capital method</t>
  </si>
  <si>
    <t>nominal interest rate</t>
  </si>
  <si>
    <t>capital goods deflator</t>
  </si>
  <si>
    <t>Jorgenson user cost of capital</t>
  </si>
  <si>
    <t>GDP deflator</t>
  </si>
  <si>
    <t>real' Jorgenson user cost of capital</t>
  </si>
  <si>
    <t>real interest rate + depreciation rate (for comparison)</t>
  </si>
  <si>
    <t>implied K/Y</t>
  </si>
  <si>
    <t>log real investment</t>
  </si>
  <si>
    <t>log capital</t>
  </si>
  <si>
    <t>Real GDP (prices 1995)</t>
  </si>
  <si>
    <t>Labor</t>
  </si>
  <si>
    <t>Capital</t>
  </si>
  <si>
    <t>HC index</t>
  </si>
  <si>
    <t>capital</t>
  </si>
  <si>
    <t>share of high skilled</t>
  </si>
  <si>
    <t>share of low skilled</t>
  </si>
  <si>
    <t>human capital</t>
  </si>
  <si>
    <t>human capital index</t>
  </si>
  <si>
    <t>corresponding wage high-skilled over low-skilled</t>
  </si>
  <si>
    <t>actual wages high- over low-skilled</t>
  </si>
  <si>
    <t>initial A_H</t>
  </si>
  <si>
    <t>beta</t>
  </si>
  <si>
    <t>initial human capital</t>
  </si>
  <si>
    <t>growth in A_H</t>
  </si>
  <si>
    <t>sigma</t>
  </si>
  <si>
    <t>Growth in human capital index</t>
  </si>
  <si>
    <t>Total</t>
  </si>
  <si>
    <t xml:space="preserve">semi-skilled </t>
  </si>
  <si>
    <t xml:space="preserve">unskilled </t>
  </si>
  <si>
    <t>workers</t>
  </si>
  <si>
    <t>Base unskilled</t>
  </si>
  <si>
    <t>Base semi-skilled</t>
  </si>
  <si>
    <t>log real GDP</t>
  </si>
  <si>
    <t>real GDP complete</t>
  </si>
  <si>
    <t>growth rates</t>
  </si>
  <si>
    <t>Growth accounting</t>
  </si>
  <si>
    <t>Residual</t>
  </si>
  <si>
    <t>labor</t>
  </si>
  <si>
    <t>TFP growth rate</t>
  </si>
  <si>
    <t>Growth rate of TFP</t>
  </si>
  <si>
    <t>Growth rate of labor</t>
  </si>
  <si>
    <t>Growth rate of human capital</t>
  </si>
  <si>
    <t>Annual growth in human capital index 2002-2013</t>
  </si>
  <si>
    <t>past data</t>
  </si>
  <si>
    <t>index of real wages</t>
  </si>
  <si>
    <t>growth rate</t>
  </si>
  <si>
    <t>ln(kis)</t>
  </si>
  <si>
    <t>Real investment-output ratio (1995 SIT)</t>
  </si>
  <si>
    <t>past real gdp</t>
  </si>
  <si>
    <t>past real investment</t>
  </si>
  <si>
    <t>I/Y past</t>
  </si>
  <si>
    <t>I/Y future</t>
  </si>
  <si>
    <t>growth rate of output</t>
  </si>
  <si>
    <t>K/Y in 2002</t>
  </si>
  <si>
    <t>future gdp index slovenia</t>
  </si>
  <si>
    <t>future gdp index eu25</t>
  </si>
  <si>
    <t>indexed to eu25 2002 = 1</t>
  </si>
  <si>
    <t>past gdp index eu25, 2002 = 1</t>
  </si>
  <si>
    <t>future eu25 GDP indexed to 2002 =1</t>
  </si>
  <si>
    <t>cumulated decline</t>
  </si>
  <si>
    <t>growth 1992-2002</t>
  </si>
  <si>
    <t>growth 1992-2000</t>
  </si>
  <si>
    <t>growth 1995-2000</t>
  </si>
  <si>
    <t>Preferred estimates</t>
  </si>
  <si>
    <t>growth 1993-2002</t>
  </si>
  <si>
    <t>Growth 1992-2002</t>
  </si>
  <si>
    <t>Growth 1993-2002</t>
  </si>
  <si>
    <t>Slovenia past 2013</t>
  </si>
  <si>
    <t>EU25 past 2013</t>
  </si>
  <si>
    <t>time</t>
  </si>
  <si>
    <t xml:space="preserve">2005a00 </t>
  </si>
  <si>
    <t xml:space="preserve">2004a00 </t>
  </si>
  <si>
    <t xml:space="preserve">2003a00 </t>
  </si>
  <si>
    <t xml:space="preserve">2002a00 </t>
  </si>
  <si>
    <t xml:space="preserve">2001a00 </t>
  </si>
  <si>
    <t xml:space="preserve">2000a00 </t>
  </si>
  <si>
    <t xml:space="preserve">1999a00 </t>
  </si>
  <si>
    <t xml:space="preserve">1998a00 </t>
  </si>
  <si>
    <t xml:space="preserve">1997a00 </t>
  </si>
  <si>
    <t xml:space="preserve">1996a00 </t>
  </si>
  <si>
    <t xml:space="preserve">1995a00 </t>
  </si>
  <si>
    <t xml:space="preserve">1994a00 </t>
  </si>
  <si>
    <t xml:space="preserve">1993a00 </t>
  </si>
  <si>
    <t xml:space="preserve">1992a00 </t>
  </si>
  <si>
    <t xml:space="preserve">1991a00 </t>
  </si>
  <si>
    <t xml:space="preserve">1990a00 </t>
  </si>
  <si>
    <t>geo</t>
  </si>
  <si>
    <t>eu15 European Union (15 countries)</t>
  </si>
  <si>
    <t xml:space="preserve">: </t>
  </si>
  <si>
    <t>eu15_acc European Union (15 countries) plus 10 acceding countries</t>
  </si>
  <si>
    <t>acc Acceding countries (CY, CZ, EE, HU, LV, LT, MT, PL, SK, SI)</t>
  </si>
  <si>
    <t>Slovenia</t>
  </si>
  <si>
    <t>OECD</t>
  </si>
  <si>
    <t>Austria</t>
  </si>
  <si>
    <t>Belgium</t>
  </si>
  <si>
    <t>Denmark</t>
  </si>
  <si>
    <t>Finland</t>
  </si>
  <si>
    <t>France</t>
  </si>
  <si>
    <t>Ireland</t>
  </si>
  <si>
    <t>Italy</t>
  </si>
  <si>
    <t>Japan</t>
  </si>
  <si>
    <t>Nether-</t>
  </si>
  <si>
    <t>Portugal</t>
  </si>
  <si>
    <t>Spain</t>
  </si>
  <si>
    <t>Sweden</t>
  </si>
  <si>
    <t>U.K.</t>
  </si>
  <si>
    <t>USA</t>
  </si>
  <si>
    <t>Germany</t>
  </si>
  <si>
    <t>lands</t>
  </si>
  <si>
    <t>Midyear Population (x 1000)</t>
  </si>
  <si>
    <t>Greece</t>
  </si>
  <si>
    <t>U.S.A</t>
  </si>
  <si>
    <t>tpopaut</t>
  </si>
  <si>
    <t>tpopbel</t>
  </si>
  <si>
    <t>tpopden</t>
  </si>
  <si>
    <t>tpopfin</t>
  </si>
  <si>
    <t>tpopfra</t>
  </si>
  <si>
    <t>tpopgre</t>
  </si>
  <si>
    <t>tpopire</t>
  </si>
  <si>
    <t>tpopita</t>
  </si>
  <si>
    <t>tpopjap</t>
  </si>
  <si>
    <t>tpopnet</t>
  </si>
  <si>
    <t>tpoppor</t>
  </si>
  <si>
    <t>tpopspa</t>
  </si>
  <si>
    <t>tpopswe</t>
  </si>
  <si>
    <t>tpopukd</t>
  </si>
  <si>
    <t>tpopusa</t>
  </si>
  <si>
    <t>Bulgaria</t>
  </si>
  <si>
    <t>Czecho-</t>
  </si>
  <si>
    <t>Hungary</t>
  </si>
  <si>
    <t>Poland</t>
  </si>
  <si>
    <t>slovakia</t>
  </si>
  <si>
    <t>Growth rate Slovenia - growth rate EU15 (1993-1998) or EU25 (1999-2002)</t>
  </si>
  <si>
    <t>Average</t>
  </si>
  <si>
    <t>SD</t>
  </si>
  <si>
    <t>Lagged employment, unrestricted estimate</t>
  </si>
  <si>
    <t>Contemporary employment estimate</t>
  </si>
  <si>
    <t>fixed assets</t>
  </si>
  <si>
    <t>intangible fixed assets</t>
  </si>
  <si>
    <t>tangible fixed assets</t>
  </si>
  <si>
    <t>land and buildings</t>
  </si>
  <si>
    <t>machinery and equipment</t>
  </si>
  <si>
    <t>"long-run" financial assets</t>
  </si>
  <si>
    <t>"equity correction"</t>
  </si>
  <si>
    <t>depreciation of intangible and tangible fixed assets</t>
  </si>
  <si>
    <t>Own calculations</t>
  </si>
  <si>
    <t>Net investment</t>
  </si>
  <si>
    <t>Depreciation</t>
  </si>
  <si>
    <t>Gross investment</t>
  </si>
  <si>
    <t>using growth accounting (1987-1992)</t>
  </si>
  <si>
    <t>growth 1994-2002</t>
  </si>
  <si>
    <t>using investment and double depreciation 1987-1992</t>
  </si>
  <si>
    <t>log capital stock</t>
  </si>
  <si>
    <t>average years of schooling</t>
  </si>
  <si>
    <t>hall and jones (1999) transformation</t>
  </si>
  <si>
    <t>index</t>
  </si>
  <si>
    <t>average growth 1993-2002</t>
  </si>
  <si>
    <t>average growth 2002-2013</t>
  </si>
  <si>
    <t>growth 1990-2000</t>
  </si>
  <si>
    <t>real GDP (Bank of Slovenia)</t>
  </si>
  <si>
    <t>Real gross domestic product, in millions of 1995 SIT</t>
  </si>
  <si>
    <t>real GDP, normalized to 1 in 1986</t>
  </si>
  <si>
    <t>Normalized to 1 in 1986</t>
  </si>
  <si>
    <t>Netherlands</t>
  </si>
  <si>
    <t>United Kingdom</t>
  </si>
  <si>
    <t>Average years of schooling</t>
  </si>
  <si>
    <t>annual absolute change 1990-1998</t>
  </si>
  <si>
    <t>annual growth rate 1990-1998</t>
  </si>
  <si>
    <t>Average EU-15</t>
  </si>
  <si>
    <t>annual growth rate 1993-2002</t>
  </si>
  <si>
    <t>annual absolute change 1993-2002</t>
  </si>
  <si>
    <t>Hall and Jones (1999) transformation</t>
  </si>
  <si>
    <t>annual percentage growth Hall and Jones (1999) transformation 1993-2002</t>
  </si>
  <si>
    <t>Source: Registered unemployed Statistical Yearbook 2003 (SORS), Unemployment Labor Force Survey (IMAD)</t>
  </si>
  <si>
    <t>nekvalificirani delavec = 100 / unskiled worker = 100</t>
  </si>
  <si>
    <t>Skupaj</t>
  </si>
  <si>
    <t>Stopnje strokovne usposobljenosti</t>
  </si>
  <si>
    <t>Level of professional skills</t>
  </si>
  <si>
    <t>visoka</t>
  </si>
  <si>
    <t>višja</t>
  </si>
  <si>
    <t>srednja</t>
  </si>
  <si>
    <t>nižja</t>
  </si>
  <si>
    <t>VKV</t>
  </si>
  <si>
    <t>KV</t>
  </si>
  <si>
    <t>PKV</t>
  </si>
  <si>
    <t>NKV</t>
  </si>
  <si>
    <t xml:space="preserve">university </t>
  </si>
  <si>
    <t xml:space="preserve">non-university </t>
  </si>
  <si>
    <t>secondary</t>
  </si>
  <si>
    <t xml:space="preserve">lower </t>
  </si>
  <si>
    <t xml:space="preserve">highly </t>
  </si>
  <si>
    <t xml:space="preserve">skilled </t>
  </si>
  <si>
    <t>Series normalized to 1993</t>
  </si>
  <si>
    <t>degree</t>
  </si>
  <si>
    <t xml:space="preserve">professional </t>
  </si>
  <si>
    <t>professional</t>
  </si>
  <si>
    <t>Wages relative to the least skilled</t>
  </si>
  <si>
    <t>Source: Statistical Yearbook Table 13.5 (SORS (2003))</t>
  </si>
  <si>
    <t>Note: 1982, 1984, 1987 and 1989 have been imputed using the average of the preceding and following year</t>
  </si>
  <si>
    <t>Annual growth 1993-2002</t>
  </si>
  <si>
    <t>Annual growth 1989-1993</t>
  </si>
  <si>
    <t>Low skilled</t>
  </si>
  <si>
    <t>High skilled</t>
  </si>
  <si>
    <t>- isced 5</t>
  </si>
  <si>
    <t>- isced 6+7</t>
  </si>
  <si>
    <t>share of high-skilled in total employment</t>
  </si>
  <si>
    <t>Employment high over low skilled</t>
  </si>
  <si>
    <t>1993 = 100</t>
  </si>
  <si>
    <t>Wages</t>
  </si>
  <si>
    <t>Low skilled (residual)</t>
  </si>
  <si>
    <t>(sum of weighted rows below)</t>
  </si>
  <si>
    <t>-isced 5</t>
  </si>
  <si>
    <t>-isced 6+7</t>
  </si>
  <si>
    <t>Wages high over low skilled</t>
  </si>
  <si>
    <t>Employment and wages of low- and high-skilled</t>
  </si>
  <si>
    <t>Source: SORS (internal sources at IMAD)</t>
  </si>
  <si>
    <t>loss of capital in 1987-1992 using growth ccounting (see below)</t>
  </si>
  <si>
    <t xml:space="preserve"> Capital using the perpetual invertory method (in 1995 SIT), the preferred series are in column "AA"</t>
  </si>
  <si>
    <t>cumulated drop since 1986</t>
  </si>
  <si>
    <t>Growth accounting for loss of capital, using actual income shares</t>
  </si>
  <si>
    <t>Growth accounting for loss of capital, using labor income share of 70 percent</t>
  </si>
  <si>
    <t>Growth accounting for loss of capital, using labor income share of 70 percent, and decline in TFP</t>
  </si>
  <si>
    <t>aternative K/Y using elasticity of output with respect to capital of .30</t>
  </si>
  <si>
    <t>Source: Janez Kušar (IMAD)</t>
  </si>
  <si>
    <t>Source: various issues of the Statistical Yearbook of the SORS</t>
  </si>
  <si>
    <t>Growth rate 1993-2002</t>
  </si>
  <si>
    <t>TFP level</t>
  </si>
  <si>
    <t>Average annual growth rate 1993-2002</t>
  </si>
  <si>
    <t>Average annual growth rate 1994-2002</t>
  </si>
  <si>
    <t>Preferred series: using CES-weighted human capital index and constant labor income share of .3</t>
  </si>
  <si>
    <t>As preferred series but with actual labor income share</t>
  </si>
  <si>
    <t>Average annual growth rate 1993-2001</t>
  </si>
  <si>
    <t>Average annual growth rate 1994-2001</t>
  </si>
  <si>
    <t>As preferred series but now with 'average wage relative to least skilled wage' human capital index (note: runs up to 2001)</t>
  </si>
  <si>
    <t>Human capital index using Slovenian average years of schooling with Hall and Jones (1999) transformation</t>
  </si>
  <si>
    <t>Average years of schooling in Slovenia</t>
  </si>
  <si>
    <t>As preferred series but now with Hall and Jones (1999) transformation of average years of schooling index for human capital</t>
  </si>
  <si>
    <t>As preferred series but now without capital deepening</t>
  </si>
  <si>
    <t>As preferred series but without human capital growth</t>
  </si>
  <si>
    <t>Contributions</t>
  </si>
  <si>
    <t>As preferred series but without human capital growth and no capital deepening</t>
  </si>
  <si>
    <t>Contribution by the other factors</t>
  </si>
  <si>
    <t>PROJEKCIJA PREBIVALSTVA</t>
  </si>
  <si>
    <t>Predpostavke</t>
  </si>
  <si>
    <t>Pričakovano trajanje življenja: - moški</t>
  </si>
  <si>
    <t xml:space="preserve">                                           - ženske</t>
  </si>
  <si>
    <t>Fertility rate</t>
  </si>
  <si>
    <t>Net migration</t>
  </si>
  <si>
    <t>Število prebivalcev 30.6. (v tisoč)</t>
  </si>
  <si>
    <t xml:space="preserve">    0-14 let</t>
  </si>
  <si>
    <t xml:space="preserve">   15-64 let</t>
  </si>
  <si>
    <t xml:space="preserve">   15-24 let</t>
  </si>
  <si>
    <t xml:space="preserve">   25-54 let</t>
  </si>
  <si>
    <t xml:space="preserve">   55-64 let</t>
  </si>
  <si>
    <t xml:space="preserve">   65 let in več</t>
  </si>
  <si>
    <t>V %:  0-14 let</t>
  </si>
  <si>
    <t xml:space="preserve">       15-64 let</t>
  </si>
  <si>
    <t xml:space="preserve">       65 let in več</t>
  </si>
  <si>
    <t>Indeks rasti (leto 2002 = 100)</t>
  </si>
  <si>
    <t>0-14 let</t>
  </si>
  <si>
    <t>15-64 let</t>
  </si>
  <si>
    <t>65 let in več</t>
  </si>
  <si>
    <t>TABELA</t>
  </si>
  <si>
    <t>Koeficient celotne rodnosti</t>
  </si>
  <si>
    <t>Selitveni prirast</t>
  </si>
  <si>
    <t>Starostna sestava (v %)</t>
  </si>
  <si>
    <t xml:space="preserve">         0-14 let</t>
  </si>
  <si>
    <r>
      <t>F</t>
    </r>
    <r>
      <rPr>
        <b/>
        <sz val="8"/>
        <rFont val="Arial"/>
        <family val="2"/>
      </rPr>
      <t>95-00</t>
    </r>
  </si>
  <si>
    <r>
      <t>F</t>
    </r>
    <r>
      <rPr>
        <b/>
        <sz val="8"/>
        <rFont val="Arial"/>
        <family val="2"/>
      </rPr>
      <t>04-13</t>
    </r>
  </si>
  <si>
    <t>KAZALCI TRGA DELA</t>
  </si>
  <si>
    <t>Trend</t>
  </si>
  <si>
    <t>Employment (000)</t>
  </si>
  <si>
    <t xml:space="preserve"> - growth rate</t>
  </si>
  <si>
    <t>Employment rate</t>
  </si>
  <si>
    <t xml:space="preserve">      moški</t>
  </si>
  <si>
    <t xml:space="preserve">      ženske</t>
  </si>
  <si>
    <t>Stopnja zaposlenosti (15-24 let)</t>
  </si>
  <si>
    <t>Stopnja zaposlenosti (25-54 let)</t>
  </si>
  <si>
    <t>Stopnja zaposlenosti (55-64 let)</t>
  </si>
  <si>
    <t>Stopnja zaposlenosti  (65 let in več)</t>
  </si>
  <si>
    <t>Unemployment (000)</t>
  </si>
  <si>
    <t>Unempšloyment rate</t>
  </si>
  <si>
    <t>Stopnja brezposelnosti (15-24 let)</t>
  </si>
  <si>
    <t>Stopnja brezposelnosti (25-54 let)</t>
  </si>
  <si>
    <t>Stopnja brezposelnosti (55-64 let)</t>
  </si>
  <si>
    <t>Stopnja aktivnosti (15-64 let)</t>
  </si>
  <si>
    <t>Education of employment (%)</t>
  </si>
  <si>
    <t xml:space="preserve"> -no elementary</t>
  </si>
  <si>
    <t xml:space="preserve"> -elementary</t>
  </si>
  <si>
    <t xml:space="preserve"> -lower vocational</t>
  </si>
  <si>
    <t xml:space="preserve"> -vocational</t>
  </si>
  <si>
    <t xml:space="preserve"> -higher secondary</t>
  </si>
  <si>
    <t xml:space="preserve"> -non-university</t>
  </si>
  <si>
    <t xml:space="preserve"> -university</t>
  </si>
  <si>
    <t xml:space="preserve"> -post-graduate</t>
  </si>
  <si>
    <t>Years of schooling</t>
  </si>
  <si>
    <t xml:space="preserve"> - lower education</t>
  </si>
  <si>
    <t xml:space="preserve"> - secondary</t>
  </si>
  <si>
    <t xml:space="preserve"> - terciary ed.</t>
  </si>
  <si>
    <t>Cilj</t>
  </si>
  <si>
    <t>Demografski potencial</t>
  </si>
  <si>
    <t>Participation rate</t>
  </si>
  <si>
    <t>Unemployment rate</t>
  </si>
  <si>
    <t>Transition probabilities for the population 15-49 years old</t>
  </si>
  <si>
    <t>2010-2013</t>
  </si>
  <si>
    <t>Maximum</t>
  </si>
  <si>
    <t>Not finished elementary</t>
  </si>
  <si>
    <t>Elementary to lower vocational</t>
  </si>
  <si>
    <t>Elementary to vocational</t>
  </si>
  <si>
    <t>Elementary to higher secondary</t>
  </si>
  <si>
    <t>Vocational to higher secondary</t>
  </si>
  <si>
    <t>Higher secondary to non-university degree</t>
  </si>
  <si>
    <t>Higher secondary to university degree</t>
  </si>
  <si>
    <t>University degree to post-graduate</t>
  </si>
  <si>
    <t>Growth rate 2002-2013</t>
  </si>
  <si>
    <t>Absolute change 2002-2013</t>
  </si>
  <si>
    <t>Gross participation (x000)</t>
  </si>
  <si>
    <t xml:space="preserve">         strokovne usposobljenosti za opravljanje del in nalog</t>
  </si>
  <si>
    <t xml:space="preserve">        skills required by post</t>
  </si>
  <si>
    <t>skill-biased techn. Change</t>
  </si>
  <si>
    <t>1) Od leta 1993 (vključno) indeksi povprečnih bruto plač.</t>
  </si>
  <si>
    <t xml:space="preserve">    Since 1993 indices of average gross earnings.</t>
  </si>
  <si>
    <r>
      <t>13.5 Indeksi povprečnih mesečnih neto/bruto</t>
    </r>
    <r>
      <rPr>
        <b/>
        <vertAlign val="superscript"/>
        <sz val="9"/>
        <rFont val="Arial CE"/>
        <family val="2"/>
      </rPr>
      <t>1)</t>
    </r>
    <r>
      <rPr>
        <b/>
        <sz val="9"/>
        <rFont val="Arial CE"/>
        <family val="2"/>
      </rPr>
      <t xml:space="preserve"> plač zaposlenih oseb v podjetjih, družbah in organizacijah po stopnjah</t>
    </r>
  </si>
  <si>
    <r>
      <t xml:space="preserve">         Indices of  average monthly net/gross</t>
    </r>
    <r>
      <rPr>
        <b/>
        <i/>
        <vertAlign val="superscript"/>
        <sz val="9"/>
        <rFont val="Arial CE"/>
        <family val="2"/>
      </rPr>
      <t>1)</t>
    </r>
    <r>
      <rPr>
        <b/>
        <i/>
        <sz val="9"/>
        <rFont val="Arial CE"/>
        <family val="2"/>
      </rPr>
      <t xml:space="preserve"> earnings in enterprises, companies and organisations by level of professional</t>
    </r>
  </si>
  <si>
    <t>"Trend"</t>
  </si>
  <si>
    <t>wages</t>
  </si>
  <si>
    <t>shares</t>
  </si>
  <si>
    <t>multiplied</t>
  </si>
  <si>
    <t>Skill-biased techn. Change</t>
  </si>
  <si>
    <t xml:space="preserve">Potrebno število let šolanja </t>
  </si>
  <si>
    <t>Stanje</t>
  </si>
  <si>
    <t>Projekcija 2013</t>
  </si>
  <si>
    <t>Persons in employment</t>
  </si>
  <si>
    <t>Educational structure (in %)</t>
  </si>
  <si>
    <t xml:space="preserve"> - non finished elementary</t>
  </si>
  <si>
    <t xml:space="preserve"> - elementary</t>
  </si>
  <si>
    <t xml:space="preserve"> - lower vocational</t>
  </si>
  <si>
    <t xml:space="preserve"> - vocational</t>
  </si>
  <si>
    <t xml:space="preserve"> - non-university degree</t>
  </si>
  <si>
    <t xml:space="preserve"> - university degree</t>
  </si>
  <si>
    <t xml:space="preserve"> - postgraduate</t>
  </si>
  <si>
    <t xml:space="preserve">Note: 3) at the assumption that all the youth which leave regular schooling and all adults which finish a degree of adult education or part-time study get a job, while the educational structure of the outflow out of employment is equal to the educational </t>
  </si>
  <si>
    <t>skill index</t>
  </si>
  <si>
    <t>normalized to 1993</t>
  </si>
  <si>
    <r>
      <t xml:space="preserve">F </t>
    </r>
    <r>
      <rPr>
        <b/>
        <sz val="8"/>
        <rFont val="Arial CE"/>
        <family val="0"/>
      </rPr>
      <t>91-00</t>
    </r>
  </si>
  <si>
    <r>
      <t>Tabela 02: Izobrazbena sestava delovno aktivnega prebivalstva</t>
    </r>
    <r>
      <rPr>
        <b/>
        <vertAlign val="superscript"/>
        <sz val="10"/>
        <rFont val="Arial"/>
        <family val="2"/>
      </rPr>
      <t>3)</t>
    </r>
  </si>
  <si>
    <t>1993-2001</t>
  </si>
  <si>
    <t>growth rate 1993-2002</t>
  </si>
  <si>
    <t>growth rate 2002-2013</t>
  </si>
  <si>
    <t>Counterfactual: no growth in the share of tertiary educated</t>
  </si>
  <si>
    <t>Annual growth rate 2002-2013</t>
  </si>
  <si>
    <t>Note: share in years 2003-2012 is interpolated using average growth rate period 2002-2013</t>
  </si>
  <si>
    <t>Note: classification of wages by SORS is different from classification of education by Kraigher. This causes a different growth in average wages relative to least skilled in the past, I.e. 1.2 instead of 1.5. We multiply 1.9999 by 1.25 to get future projection.</t>
  </si>
  <si>
    <t>Correction</t>
  </si>
  <si>
    <t>Base projection real Slovenian GDP using CES-weighted human capital index</t>
  </si>
  <si>
    <t>Growth rate of capital-output ratio</t>
  </si>
  <si>
    <t>Growth rate of output</t>
  </si>
  <si>
    <t>Labor income share</t>
  </si>
  <si>
    <t>GDP</t>
  </si>
  <si>
    <t>Growth in wages</t>
  </si>
  <si>
    <t>Index for wages</t>
  </si>
  <si>
    <t>Average growth rate 1993-2002</t>
  </si>
  <si>
    <t>growth rate of K/Y</t>
  </si>
  <si>
    <t>GDP per Capita, in 1999 EKS$</t>
  </si>
  <si>
    <t>Luxem-</t>
  </si>
  <si>
    <t>bourg</t>
  </si>
  <si>
    <t>gdpcautb</t>
  </si>
  <si>
    <t>gdpcbelb</t>
  </si>
  <si>
    <t>gdpcdenb</t>
  </si>
  <si>
    <t>gdpcfinb</t>
  </si>
  <si>
    <t>gdpcfrab</t>
  </si>
  <si>
    <t>gdpcgreb</t>
  </si>
  <si>
    <t>gdpcireb</t>
  </si>
  <si>
    <t>gdpcitab</t>
  </si>
  <si>
    <t>gdpcjapb</t>
  </si>
  <si>
    <t>gdpcluxb</t>
  </si>
  <si>
    <t>gdpcnetb</t>
  </si>
  <si>
    <t>gdpcporb</t>
  </si>
  <si>
    <t>gdpcspab</t>
  </si>
  <si>
    <t>gdpcsweb</t>
  </si>
  <si>
    <t>gdpcukdb</t>
  </si>
  <si>
    <t>gdpcusab</t>
  </si>
  <si>
    <t>Source: Groningen Growth and Development Centre and The Conference Board, Total Economy Database, February 2004, http://www.ggdc.net</t>
  </si>
  <si>
    <t>tpoplux</t>
  </si>
  <si>
    <t>EU-15</t>
  </si>
  <si>
    <t>Note: EU-15 excludes Germany (no long series for united Germany available)</t>
  </si>
  <si>
    <t>Growth rates</t>
  </si>
  <si>
    <t>11-year average of growth rates</t>
  </si>
  <si>
    <t>EU</t>
  </si>
  <si>
    <t>JAPAN</t>
  </si>
  <si>
    <t>1953-1962</t>
  </si>
  <si>
    <t>1963-1972</t>
  </si>
  <si>
    <t>1973-1982</t>
  </si>
  <si>
    <t>1983-1992</t>
  </si>
  <si>
    <t>1993-2002</t>
  </si>
  <si>
    <t>Average growth rate per decade</t>
  </si>
  <si>
    <t>1972-2002</t>
  </si>
  <si>
    <t>Eastern Europe and Central Asia</t>
  </si>
  <si>
    <t>gdpcbulb</t>
  </si>
  <si>
    <t>gdpcczeb</t>
  </si>
  <si>
    <t>gdpchunb</t>
  </si>
  <si>
    <t>gdpcpolb</t>
  </si>
  <si>
    <t>11-average year average growth rates</t>
  </si>
  <si>
    <t>Slovenia relative to EU-15</t>
  </si>
  <si>
    <t>1973-2002</t>
  </si>
  <si>
    <t>Sensitivity analysis projected growth in real GDP per capita 2002-2013</t>
  </si>
  <si>
    <t xml:space="preserve">Growth in </t>
  </si>
  <si>
    <t>Human capital</t>
  </si>
  <si>
    <t>Capital-output ratio</t>
  </si>
  <si>
    <t>elasticity of output wrt labor</t>
  </si>
  <si>
    <t>base projection</t>
  </si>
  <si>
    <t>tfp</t>
  </si>
  <si>
    <t>alternative developments in the past</t>
  </si>
  <si>
    <t>Human capital index growth in past and future with lower skill biased techn. Change</t>
  </si>
  <si>
    <t>Growth accounting to determine TFP when skill biased techn. Change was lower in the past</t>
  </si>
  <si>
    <t>Human capital index growth in past and future with higher skill biased techn. Change</t>
  </si>
  <si>
    <t>Growth accounting to determine TFP when skill biased techn. Change was higher in the past</t>
  </si>
  <si>
    <t>alternative developments in the future</t>
  </si>
  <si>
    <t>lower human capital growth (growth in s_h -50%)</t>
  </si>
  <si>
    <t>higher human capital growth (growth in s_h +50%)</t>
  </si>
  <si>
    <t>lower phys. Capital growth (K/Y constant)</t>
  </si>
  <si>
    <t>lower tfp growth (-50%)</t>
  </si>
  <si>
    <t>higher tfp growht (+50%)</t>
  </si>
  <si>
    <t>EU-25</t>
  </si>
  <si>
    <t>Base projection</t>
  </si>
  <si>
    <t>standard deviation 1973-2002</t>
  </si>
  <si>
    <t>gdp growth</t>
  </si>
  <si>
    <t>Unemployment rate 2002 times gross paricipation</t>
  </si>
  <si>
    <t>higher part</t>
  </si>
  <si>
    <t>growth 1995-2002</t>
  </si>
  <si>
    <t>Lower projected growth</t>
  </si>
  <si>
    <t>Higher projected growth</t>
  </si>
  <si>
    <t>standard deviation 1973-1984</t>
  </si>
  <si>
    <t>standard deviation 1991-2002</t>
  </si>
  <si>
    <t>Source: 2000-2002 levels by SORS, 1987-1999 backward extrapolation using growth rates of SORS national accounts employment</t>
  </si>
  <si>
    <t>Source: OECD (The Sources of Economic Growth in OECD Countries, Table 2.1), IMAD for Slovenia</t>
  </si>
  <si>
    <t>Prefered series</t>
  </si>
  <si>
    <t>Human capital index growth in future with lower growth in share of high-skilled workers</t>
  </si>
  <si>
    <t>Human capital index growth in future with higher growth in the share of high-skilled workers</t>
  </si>
  <si>
    <t>Data (-2002) and projections (2003-2005) from Eurostat</t>
  </si>
  <si>
    <t>Help sheet to plot projected GDP in Slovenia versus EU</t>
  </si>
  <si>
    <t>growth in GDP/Social Product before GDP was measured</t>
  </si>
  <si>
    <t>Nominal GDP</t>
  </si>
  <si>
    <t>Source: 1995-2002 SORS, 1980-1994 internal sources at IMAD</t>
  </si>
  <si>
    <t>Deflator year by year</t>
  </si>
  <si>
    <t>Deflator 1995=1</t>
  </si>
  <si>
    <t>Growth rate/100</t>
  </si>
  <si>
    <t>SOURCE: 1970-1972 Statistical Yearbook 1993, 1974-1990 Statistical Yearbook 1998, 1991- internal sources at IMAD (latest data)</t>
  </si>
  <si>
    <t>Nominal investment (gross fixed capital formation)</t>
  </si>
  <si>
    <t>Deflator 1995=100</t>
  </si>
  <si>
    <t>investment deflator (until 1991 PPI)</t>
  </si>
  <si>
    <t>Source: Bank of Slovenia (online data, www.bsi.si) for nominal interest rate, IMAD for capital goods deflator</t>
  </si>
  <si>
    <t>dito *100</t>
  </si>
  <si>
    <t>Source: internal sources at IMAD</t>
  </si>
  <si>
    <t xml:space="preserve">Compensation of </t>
  </si>
  <si>
    <t>Payroll tax</t>
  </si>
  <si>
    <t>Labour cost bill</t>
  </si>
  <si>
    <t>Labour cost per employee</t>
  </si>
  <si>
    <t>employee</t>
  </si>
  <si>
    <t>by SURS</t>
  </si>
  <si>
    <t>consumer prices</t>
  </si>
  <si>
    <t>in mio SIT</t>
  </si>
  <si>
    <t>in 1000</t>
  </si>
  <si>
    <t>in SIT</t>
  </si>
  <si>
    <t>labor costs series</t>
  </si>
  <si>
    <t>Corresponding employment in national accounts</t>
  </si>
  <si>
    <t>Labour costs</t>
  </si>
  <si>
    <t>CPI year by year growth</t>
  </si>
  <si>
    <t>real labor costs series</t>
  </si>
  <si>
    <t>capital (1972=2,14*GDP) in 1995 SIT</t>
  </si>
  <si>
    <t>higher phys. Cap growth (K/Y grows at 2.1% p.a.)</t>
  </si>
  <si>
    <t>Helpvariable for convergence sheet</t>
  </si>
  <si>
    <t>gdp</t>
  </si>
  <si>
    <t>In this excel file you will find all the data and figures used in Jongen, E.L.W., 2004, An Analysis of Past and Future GDP Growth in Slovenia, IMAD Working Paper, No. 03/2004, Ljubljana.</t>
  </si>
  <si>
    <t>The figures called 'graf' are the ones used in the final version.</t>
  </si>
  <si>
    <t>Note: For 1980-89 we use the growth rate of the so-called (real) ‘gross social product’ to calculate GDP backwards, using internal data of IMAD. For 1990-1994 we also use internal data of IMAD, but now for real GDP growth. For 1995-2002 we use the latest data on real GDP growth from the SORS.</t>
  </si>
  <si>
    <t>Human capital index (using own estimates)</t>
  </si>
  <si>
    <t>Capital in the market sector (depreciation rate of 7.5%)</t>
  </si>
  <si>
    <t>Projected average years of schooling</t>
  </si>
  <si>
    <t>Source: Tomaž Kraigher (IMAD).</t>
  </si>
  <si>
    <t>Source: Statistical Yearbook 2003 of the SORS.</t>
  </si>
  <si>
    <t>Projection human capital index 'wages relative to the least skilled'</t>
  </si>
  <si>
    <t>Projection human capital index 'CES-function of low- and high-skilled labor'</t>
  </si>
  <si>
    <t>no drop in unemployment</t>
  </si>
  <si>
    <t>lower human cap growth (-1 sd)</t>
  </si>
  <si>
    <t>higher human cap growth (+1 sd)</t>
  </si>
  <si>
    <t>lower phys. Cap growth (k/y constant)</t>
  </si>
  <si>
    <t>higher phys. Cap growth (k/y 9.5%)</t>
  </si>
</sst>
</file>

<file path=xl/styles.xml><?xml version="1.0" encoding="utf-8"?>
<styleSheet xmlns="http://schemas.openxmlformats.org/spreadsheetml/2006/main">
  <numFmts count="33">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
    <numFmt numFmtId="173" formatCode="#,##0\ &quot;SIT&quot;"/>
    <numFmt numFmtId="174" formatCode="0.0"/>
    <numFmt numFmtId="175" formatCode="#,##0.0"/>
    <numFmt numFmtId="176" formatCode="#,##0.000"/>
    <numFmt numFmtId="177" formatCode="0.0000"/>
    <numFmt numFmtId="178" formatCode="#,##0.0000"/>
    <numFmt numFmtId="179" formatCode="[$-413]dddd\ d\ mmmm\ yyyy"/>
    <numFmt numFmtId="180" formatCode="\(0\)"/>
    <numFmt numFmtId="181" formatCode="0.00000000"/>
    <numFmt numFmtId="182" formatCode="0.00000"/>
    <numFmt numFmtId="183" formatCode="m/d"/>
    <numFmt numFmtId="184" formatCode="0.0%"/>
    <numFmt numFmtId="185" formatCode="_-* #,##0.0_-;_-* #,##0.0\-;_-* &quot;-&quot;??_-;_-@_-"/>
    <numFmt numFmtId="186" formatCode="_-* #,##0_-;_-* #,##0\-;_-* &quot;-&quot;??_-;_-@_-"/>
    <numFmt numFmtId="187" formatCode="00000"/>
    <numFmt numFmtId="188" formatCode="#,##0_);\(#,##0\)"/>
  </numFmts>
  <fonts count="34">
    <font>
      <sz val="10"/>
      <name val="Arial"/>
      <family val="0"/>
    </font>
    <font>
      <sz val="10"/>
      <name val="Tahoma"/>
      <family val="2"/>
    </font>
    <font>
      <u val="single"/>
      <sz val="10"/>
      <color indexed="12"/>
      <name val="Arial"/>
      <family val="0"/>
    </font>
    <font>
      <sz val="10"/>
      <name val="Arial CE"/>
      <family val="0"/>
    </font>
    <font>
      <b/>
      <sz val="10"/>
      <name val="Arial"/>
      <family val="2"/>
    </font>
    <font>
      <b/>
      <sz val="10"/>
      <color indexed="12"/>
      <name val="Arial"/>
      <family val="2"/>
    </font>
    <font>
      <sz val="10"/>
      <color indexed="12"/>
      <name val="Arial"/>
      <family val="2"/>
    </font>
    <font>
      <sz val="8"/>
      <name val="Arial CE"/>
      <family val="2"/>
    </font>
    <font>
      <i/>
      <sz val="8"/>
      <name val="Arial CE"/>
      <family val="2"/>
    </font>
    <font>
      <b/>
      <sz val="8"/>
      <name val="Arial"/>
      <family val="2"/>
    </font>
    <font>
      <b/>
      <sz val="8"/>
      <name val="Math A"/>
      <family val="1"/>
    </font>
    <font>
      <sz val="8"/>
      <name val="Arial"/>
      <family val="2"/>
    </font>
    <font>
      <i/>
      <sz val="8"/>
      <name val="Arial"/>
      <family val="2"/>
    </font>
    <font>
      <i/>
      <sz val="9"/>
      <name val="Arial"/>
      <family val="2"/>
    </font>
    <font>
      <sz val="9"/>
      <name val="Arial"/>
      <family val="2"/>
    </font>
    <font>
      <i/>
      <sz val="8"/>
      <color indexed="10"/>
      <name val="Arial"/>
      <family val="2"/>
    </font>
    <font>
      <b/>
      <sz val="6"/>
      <name val="Arial"/>
      <family val="2"/>
    </font>
    <font>
      <b/>
      <sz val="8"/>
      <color indexed="10"/>
      <name val="Arial"/>
      <family val="2"/>
    </font>
    <font>
      <b/>
      <i/>
      <sz val="8"/>
      <color indexed="10"/>
      <name val="Arial"/>
      <family val="2"/>
    </font>
    <font>
      <sz val="8"/>
      <color indexed="10"/>
      <name val="Arial"/>
      <family val="2"/>
    </font>
    <font>
      <sz val="10"/>
      <color indexed="10"/>
      <name val="Arial"/>
      <family val="2"/>
    </font>
    <font>
      <b/>
      <i/>
      <sz val="8"/>
      <name val="Arial"/>
      <family val="2"/>
    </font>
    <font>
      <b/>
      <sz val="8"/>
      <name val="Arial CE"/>
      <family val="0"/>
    </font>
    <font>
      <b/>
      <vertAlign val="superscript"/>
      <sz val="9"/>
      <name val="Arial CE"/>
      <family val="2"/>
    </font>
    <font>
      <b/>
      <sz val="9"/>
      <name val="Arial CE"/>
      <family val="2"/>
    </font>
    <font>
      <b/>
      <i/>
      <vertAlign val="superscript"/>
      <sz val="9"/>
      <name val="Arial CE"/>
      <family val="2"/>
    </font>
    <font>
      <b/>
      <i/>
      <sz val="9"/>
      <name val="Arial CE"/>
      <family val="2"/>
    </font>
    <font>
      <sz val="6"/>
      <name val="Arial"/>
      <family val="2"/>
    </font>
    <font>
      <b/>
      <sz val="8"/>
      <color indexed="10"/>
      <name val="Arial CE"/>
      <family val="2"/>
    </font>
    <font>
      <b/>
      <vertAlign val="superscript"/>
      <sz val="10"/>
      <name val="Arial"/>
      <family val="2"/>
    </font>
    <font>
      <sz val="8"/>
      <name val="Tahoma"/>
      <family val="0"/>
    </font>
    <font>
      <b/>
      <sz val="8"/>
      <name val="Tahoma"/>
      <family val="0"/>
    </font>
    <font>
      <sz val="7"/>
      <name val="Arial"/>
      <family val="2"/>
    </font>
    <font>
      <sz val="6.75"/>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12">
    <border>
      <left/>
      <right/>
      <top/>
      <bottom/>
      <diagonal/>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cellStyleXfs>
  <cellXfs count="217">
    <xf numFmtId="0" fontId="0" fillId="0" borderId="0" xfId="0" applyAlignment="1">
      <alignment/>
    </xf>
    <xf numFmtId="172" fontId="0" fillId="0" borderId="0" xfId="0" applyNumberFormat="1" applyAlignment="1">
      <alignment/>
    </xf>
    <xf numFmtId="3" fontId="0" fillId="0" borderId="0" xfId="0" applyNumberFormat="1" applyAlignment="1">
      <alignment/>
    </xf>
    <xf numFmtId="0" fontId="0" fillId="0" borderId="0" xfId="0" applyFont="1" applyBorder="1" applyAlignment="1">
      <alignment/>
    </xf>
    <xf numFmtId="0" fontId="0" fillId="0" borderId="0" xfId="0" applyNumberFormat="1" applyFont="1" applyBorder="1" applyAlignment="1">
      <alignment/>
    </xf>
    <xf numFmtId="0" fontId="0" fillId="0" borderId="0" xfId="0" applyFont="1" applyAlignment="1">
      <alignment/>
    </xf>
    <xf numFmtId="0" fontId="0" fillId="0" borderId="0" xfId="0" applyFont="1" applyBorder="1" applyAlignment="1">
      <alignment horizontal="left"/>
    </xf>
    <xf numFmtId="1" fontId="0" fillId="0" borderId="0" xfId="0" applyNumberFormat="1" applyBorder="1" applyAlignment="1">
      <alignment/>
    </xf>
    <xf numFmtId="1" fontId="0" fillId="0" borderId="0" xfId="0" applyNumberFormat="1" applyFont="1" applyBorder="1" applyAlignment="1">
      <alignment/>
    </xf>
    <xf numFmtId="1"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0" fontId="0" fillId="0" borderId="0" xfId="0" applyAlignment="1" quotePrefix="1">
      <alignment/>
    </xf>
    <xf numFmtId="0" fontId="0" fillId="0" borderId="0" xfId="24">
      <alignment/>
      <protection/>
    </xf>
    <xf numFmtId="1" fontId="0" fillId="0" borderId="0" xfId="24" applyNumberFormat="1">
      <alignment/>
      <protection/>
    </xf>
    <xf numFmtId="2" fontId="0" fillId="0" borderId="0" xfId="24" applyNumberFormat="1">
      <alignment/>
      <protection/>
    </xf>
    <xf numFmtId="3" fontId="1" fillId="0" borderId="0" xfId="25" applyNumberFormat="1" applyFont="1" applyFill="1" applyBorder="1">
      <alignment/>
      <protection/>
    </xf>
    <xf numFmtId="3" fontId="1" fillId="0" borderId="0" xfId="25" applyNumberFormat="1" applyFont="1" applyBorder="1">
      <alignment/>
      <protection/>
    </xf>
    <xf numFmtId="175" fontId="1" fillId="0" borderId="0" xfId="25" applyNumberFormat="1" applyFont="1" applyBorder="1">
      <alignment/>
      <protection/>
    </xf>
    <xf numFmtId="172" fontId="0" fillId="0" borderId="0" xfId="24" applyNumberFormat="1">
      <alignment/>
      <protection/>
    </xf>
    <xf numFmtId="177" fontId="0" fillId="0" borderId="0" xfId="24" applyNumberFormat="1">
      <alignment/>
      <protection/>
    </xf>
    <xf numFmtId="172" fontId="1" fillId="0" borderId="0" xfId="25" applyNumberFormat="1" applyFont="1" applyBorder="1">
      <alignment/>
      <protection/>
    </xf>
    <xf numFmtId="0" fontId="0" fillId="0" borderId="0" xfId="24" applyFont="1">
      <alignment/>
      <protection/>
    </xf>
    <xf numFmtId="0" fontId="3" fillId="0" borderId="0" xfId="26">
      <alignment/>
      <protection/>
    </xf>
    <xf numFmtId="0" fontId="3" fillId="0" borderId="0" xfId="26" applyFont="1">
      <alignment/>
      <protection/>
    </xf>
    <xf numFmtId="2" fontId="0" fillId="0" borderId="0" xfId="24" applyNumberFormat="1" applyFont="1">
      <alignment/>
      <protection/>
    </xf>
    <xf numFmtId="172" fontId="0" fillId="0" borderId="0" xfId="24" applyNumberFormat="1" applyFont="1">
      <alignment/>
      <protection/>
    </xf>
    <xf numFmtId="177" fontId="0" fillId="0" borderId="0" xfId="0" applyNumberFormat="1" applyAlignment="1">
      <alignment/>
    </xf>
    <xf numFmtId="182" fontId="0" fillId="0" borderId="0" xfId="0" applyNumberFormat="1" applyAlignment="1">
      <alignment/>
    </xf>
    <xf numFmtId="0" fontId="0" fillId="0" borderId="0" xfId="0" applyAlignment="1">
      <alignment horizontal="left" indent="1"/>
    </xf>
    <xf numFmtId="0" fontId="0" fillId="0" borderId="0" xfId="0" applyAlignment="1">
      <alignment horizontal="left" indent="2"/>
    </xf>
    <xf numFmtId="0" fontId="3" fillId="0" borderId="0" xfId="26" applyNumberFormat="1" applyFont="1" applyBorder="1">
      <alignment/>
      <protection/>
    </xf>
    <xf numFmtId="0" fontId="7" fillId="0" borderId="1" xfId="26" applyNumberFormat="1" applyFont="1" applyBorder="1">
      <alignment/>
      <protection/>
    </xf>
    <xf numFmtId="0" fontId="7" fillId="0" borderId="2" xfId="26" applyNumberFormat="1" applyFont="1" applyBorder="1">
      <alignment/>
      <protection/>
    </xf>
    <xf numFmtId="0" fontId="7" fillId="0" borderId="1" xfId="26" applyNumberFormat="1" applyFont="1" applyBorder="1" applyAlignment="1">
      <alignment horizontal="centerContinuous"/>
      <protection/>
    </xf>
    <xf numFmtId="0" fontId="7" fillId="0" borderId="3" xfId="26" applyNumberFormat="1" applyFont="1" applyBorder="1" applyAlignment="1">
      <alignment horizontal="centerContinuous"/>
      <protection/>
    </xf>
    <xf numFmtId="0" fontId="7" fillId="0" borderId="4" xfId="26" applyNumberFormat="1" applyFont="1" applyBorder="1" applyAlignment="1">
      <alignment horizontal="centerContinuous"/>
      <protection/>
    </xf>
    <xf numFmtId="0" fontId="7" fillId="0" borderId="5" xfId="26" applyNumberFormat="1" applyFont="1" applyBorder="1">
      <alignment/>
      <protection/>
    </xf>
    <xf numFmtId="0" fontId="7" fillId="0" borderId="6" xfId="26" applyNumberFormat="1" applyFont="1" applyBorder="1">
      <alignment/>
      <protection/>
    </xf>
    <xf numFmtId="0" fontId="7" fillId="0" borderId="5" xfId="26" applyNumberFormat="1" applyFont="1" applyBorder="1" applyAlignment="1">
      <alignment horizontal="centerContinuous"/>
      <protection/>
    </xf>
    <xf numFmtId="0" fontId="7" fillId="0" borderId="0" xfId="26" applyNumberFormat="1" applyFont="1" applyBorder="1" applyAlignment="1">
      <alignment horizontal="centerContinuous"/>
      <protection/>
    </xf>
    <xf numFmtId="0" fontId="7" fillId="0" borderId="7" xfId="26" applyNumberFormat="1" applyFont="1" applyBorder="1" applyAlignment="1">
      <alignment horizontal="centerContinuous"/>
      <protection/>
    </xf>
    <xf numFmtId="0" fontId="8" fillId="0" borderId="8" xfId="26" applyNumberFormat="1" applyFont="1" applyBorder="1" applyAlignment="1">
      <alignment horizontal="centerContinuous"/>
      <protection/>
    </xf>
    <xf numFmtId="0" fontId="7" fillId="0" borderId="9" xfId="26" applyNumberFormat="1" applyFont="1" applyBorder="1" applyAlignment="1">
      <alignment horizontal="centerContinuous"/>
      <protection/>
    </xf>
    <xf numFmtId="0" fontId="7" fillId="0" borderId="10" xfId="26" applyNumberFormat="1" applyFont="1" applyBorder="1" applyAlignment="1">
      <alignment horizontal="centerContinuous"/>
      <protection/>
    </xf>
    <xf numFmtId="0" fontId="7" fillId="0" borderId="6" xfId="26" applyNumberFormat="1" applyFont="1" applyBorder="1" applyAlignment="1">
      <alignment horizontal="centerContinuous"/>
      <protection/>
    </xf>
    <xf numFmtId="0" fontId="8" fillId="0" borderId="6" xfId="26" applyNumberFormat="1" applyFont="1" applyBorder="1">
      <alignment/>
      <protection/>
    </xf>
    <xf numFmtId="0" fontId="8" fillId="0" borderId="6" xfId="26" applyNumberFormat="1" applyFont="1" applyBorder="1" applyAlignment="1">
      <alignment horizontal="centerContinuous"/>
      <protection/>
    </xf>
    <xf numFmtId="0" fontId="8" fillId="0" borderId="0" xfId="26" applyNumberFormat="1" applyFont="1" applyBorder="1" applyAlignment="1">
      <alignment horizontal="centerContinuous"/>
      <protection/>
    </xf>
    <xf numFmtId="0" fontId="8" fillId="0" borderId="7" xfId="26" applyNumberFormat="1" applyFont="1" applyBorder="1" applyAlignment="1">
      <alignment horizontal="centerContinuous"/>
      <protection/>
    </xf>
    <xf numFmtId="0" fontId="7" fillId="0" borderId="8" xfId="26" applyNumberFormat="1" applyFont="1" applyBorder="1">
      <alignment/>
      <protection/>
    </xf>
    <xf numFmtId="0" fontId="8" fillId="0" borderId="11" xfId="26" applyNumberFormat="1" applyFont="1" applyBorder="1">
      <alignment/>
      <protection/>
    </xf>
    <xf numFmtId="0" fontId="8" fillId="0" borderId="9" xfId="26" applyNumberFormat="1" applyFont="1" applyBorder="1">
      <alignment/>
      <protection/>
    </xf>
    <xf numFmtId="0" fontId="8" fillId="0" borderId="11" xfId="26" applyNumberFormat="1" applyFont="1" applyBorder="1" applyAlignment="1">
      <alignment horizontal="centerContinuous"/>
      <protection/>
    </xf>
    <xf numFmtId="0" fontId="8" fillId="0" borderId="9" xfId="26" applyNumberFormat="1" applyFont="1" applyBorder="1" applyAlignment="1">
      <alignment horizontal="centerContinuous"/>
      <protection/>
    </xf>
    <xf numFmtId="0" fontId="8" fillId="0" borderId="10" xfId="26" applyNumberFormat="1" applyFont="1" applyBorder="1">
      <alignment/>
      <protection/>
    </xf>
    <xf numFmtId="0" fontId="7" fillId="0" borderId="0" xfId="26" applyNumberFormat="1" applyFont="1" applyBorder="1">
      <alignment/>
      <protection/>
    </xf>
    <xf numFmtId="0" fontId="7" fillId="0" borderId="0" xfId="26" applyNumberFormat="1" applyFont="1" applyBorder="1" applyAlignment="1">
      <alignment horizontal="center"/>
      <protection/>
    </xf>
    <xf numFmtId="172" fontId="3" fillId="0" borderId="0" xfId="26" applyNumberFormat="1">
      <alignment/>
      <protection/>
    </xf>
    <xf numFmtId="1" fontId="7" fillId="0" borderId="0" xfId="26" applyNumberFormat="1" applyFont="1" applyBorder="1">
      <alignment/>
      <protection/>
    </xf>
    <xf numFmtId="0" fontId="7" fillId="0" borderId="9" xfId="26" applyNumberFormat="1" applyFont="1" applyBorder="1" applyAlignment="1">
      <alignment horizontal="center"/>
      <protection/>
    </xf>
    <xf numFmtId="1" fontId="7" fillId="0" borderId="9" xfId="26" applyNumberFormat="1" applyFont="1" applyBorder="1">
      <alignment/>
      <protection/>
    </xf>
    <xf numFmtId="172" fontId="7" fillId="0" borderId="0" xfId="26" applyNumberFormat="1" applyFont="1" applyBorder="1">
      <alignment/>
      <protection/>
    </xf>
    <xf numFmtId="0" fontId="7" fillId="0" borderId="0" xfId="26" applyNumberFormat="1" applyFont="1" applyBorder="1" applyAlignment="1">
      <alignment horizontal="left"/>
      <protection/>
    </xf>
    <xf numFmtId="0" fontId="8" fillId="0" borderId="0" xfId="26" applyNumberFormat="1" applyFont="1" applyBorder="1">
      <alignment/>
      <protection/>
    </xf>
    <xf numFmtId="0" fontId="7" fillId="0" borderId="0" xfId="26" applyFont="1">
      <alignment/>
      <protection/>
    </xf>
    <xf numFmtId="0" fontId="8" fillId="0" borderId="0" xfId="26" applyFont="1">
      <alignment/>
      <protection/>
    </xf>
    <xf numFmtId="0" fontId="4" fillId="0" borderId="0" xfId="0" applyFont="1" applyAlignment="1">
      <alignment/>
    </xf>
    <xf numFmtId="4" fontId="0" fillId="0" borderId="0" xfId="0" applyNumberFormat="1" applyAlignment="1">
      <alignment/>
    </xf>
    <xf numFmtId="0" fontId="9" fillId="0" borderId="0" xfId="0" applyFont="1" applyBorder="1" applyAlignment="1">
      <alignment/>
    </xf>
    <xf numFmtId="0" fontId="9" fillId="0" borderId="0" xfId="0" applyFont="1" applyBorder="1" applyAlignment="1">
      <alignment/>
    </xf>
    <xf numFmtId="0" fontId="0" fillId="0" borderId="0" xfId="0" applyBorder="1" applyAlignment="1">
      <alignment/>
    </xf>
    <xf numFmtId="0" fontId="10" fillId="2" borderId="0" xfId="0" applyFont="1" applyFill="1" applyBorder="1" applyAlignment="1">
      <alignment/>
    </xf>
    <xf numFmtId="0" fontId="9" fillId="3" borderId="0" xfId="0" applyFont="1" applyFill="1" applyBorder="1" applyAlignment="1">
      <alignment/>
    </xf>
    <xf numFmtId="0" fontId="9" fillId="0" borderId="0" xfId="0" applyFont="1" applyBorder="1" applyAlignment="1">
      <alignment horizontal="right"/>
    </xf>
    <xf numFmtId="0" fontId="0" fillId="0" borderId="0" xfId="0" applyBorder="1" applyAlignment="1">
      <alignment/>
    </xf>
    <xf numFmtId="0" fontId="4" fillId="0" borderId="0" xfId="0" applyFont="1" applyFill="1" applyBorder="1" applyAlignment="1">
      <alignment/>
    </xf>
    <xf numFmtId="0" fontId="4" fillId="4" borderId="0" xfId="0" applyFont="1" applyFill="1" applyBorder="1" applyAlignment="1">
      <alignment/>
    </xf>
    <xf numFmtId="0" fontId="11" fillId="0" borderId="0" xfId="0" applyFont="1" applyBorder="1" applyAlignment="1">
      <alignment horizontal="center" vertical="center"/>
    </xf>
    <xf numFmtId="0" fontId="9" fillId="2" borderId="0" xfId="0" applyFont="1" applyFill="1" applyBorder="1" applyAlignment="1">
      <alignment/>
    </xf>
    <xf numFmtId="0" fontId="4" fillId="3" borderId="0" xfId="0" applyFont="1" applyFill="1" applyBorder="1" applyAlignment="1">
      <alignment/>
    </xf>
    <xf numFmtId="0" fontId="4" fillId="0" borderId="0" xfId="0" applyFont="1" applyBorder="1" applyAlignment="1">
      <alignment/>
    </xf>
    <xf numFmtId="0" fontId="11" fillId="0" borderId="0" xfId="0" applyFont="1" applyBorder="1" applyAlignment="1">
      <alignment horizontal="left" vertical="center"/>
    </xf>
    <xf numFmtId="174" fontId="11" fillId="2" borderId="0" xfId="0" applyNumberFormat="1" applyFont="1" applyFill="1" applyBorder="1" applyAlignment="1">
      <alignment/>
    </xf>
    <xf numFmtId="174" fontId="11" fillId="0" borderId="0" xfId="0" applyNumberFormat="1" applyFont="1" applyBorder="1" applyAlignment="1">
      <alignment/>
    </xf>
    <xf numFmtId="174" fontId="11" fillId="3" borderId="0" xfId="0" applyNumberFormat="1" applyFont="1" applyFill="1" applyBorder="1" applyAlignment="1">
      <alignment/>
    </xf>
    <xf numFmtId="174" fontId="0" fillId="0" borderId="0" xfId="0" applyNumberFormat="1" applyBorder="1" applyAlignment="1">
      <alignment/>
    </xf>
    <xf numFmtId="0" fontId="11" fillId="0" borderId="0" xfId="0" applyFont="1" applyBorder="1" applyAlignment="1">
      <alignment/>
    </xf>
    <xf numFmtId="0" fontId="0" fillId="0" borderId="0" xfId="0" applyBorder="1" applyAlignment="1">
      <alignment horizontal="left" vertical="center"/>
    </xf>
    <xf numFmtId="2" fontId="12" fillId="2" borderId="0" xfId="0" applyNumberFormat="1" applyFont="1" applyFill="1" applyBorder="1" applyAlignment="1">
      <alignment/>
    </xf>
    <xf numFmtId="2" fontId="12" fillId="0" borderId="0" xfId="0" applyNumberFormat="1" applyFont="1" applyBorder="1" applyAlignment="1">
      <alignment/>
    </xf>
    <xf numFmtId="2" fontId="12" fillId="3" borderId="0" xfId="0" applyNumberFormat="1" applyFont="1" applyFill="1" applyBorder="1" applyAlignment="1">
      <alignment/>
    </xf>
    <xf numFmtId="2" fontId="13" fillId="0" borderId="0" xfId="0" applyNumberFormat="1" applyFont="1" applyBorder="1" applyAlignment="1">
      <alignment/>
    </xf>
    <xf numFmtId="1" fontId="11" fillId="2" borderId="0" xfId="0" applyNumberFormat="1" applyFont="1" applyFill="1" applyBorder="1" applyAlignment="1">
      <alignment/>
    </xf>
    <xf numFmtId="1" fontId="11" fillId="0" borderId="0" xfId="0" applyNumberFormat="1" applyFont="1" applyBorder="1" applyAlignment="1">
      <alignment/>
    </xf>
    <xf numFmtId="1" fontId="11" fillId="3" borderId="0" xfId="0" applyNumberFormat="1" applyFont="1" applyFill="1" applyBorder="1" applyAlignment="1">
      <alignment/>
    </xf>
    <xf numFmtId="1" fontId="14" fillId="0" borderId="0" xfId="0" applyNumberFormat="1" applyFont="1" applyBorder="1" applyAlignment="1">
      <alignment/>
    </xf>
    <xf numFmtId="0" fontId="9" fillId="0" borderId="0" xfId="0" applyFont="1" applyBorder="1" applyAlignment="1">
      <alignment horizontal="left" vertical="center"/>
    </xf>
    <xf numFmtId="174" fontId="9" fillId="2" borderId="0" xfId="0" applyNumberFormat="1" applyFont="1" applyFill="1" applyBorder="1" applyAlignment="1">
      <alignment/>
    </xf>
    <xf numFmtId="174" fontId="9" fillId="0" borderId="0" xfId="0" applyNumberFormat="1" applyFont="1" applyBorder="1" applyAlignment="1">
      <alignment/>
    </xf>
    <xf numFmtId="174" fontId="9" fillId="3" borderId="0" xfId="0" applyNumberFormat="1" applyFont="1" applyFill="1" applyBorder="1" applyAlignment="1">
      <alignment/>
    </xf>
    <xf numFmtId="174" fontId="4" fillId="0" borderId="0" xfId="0" applyNumberFormat="1" applyFont="1" applyBorder="1" applyAlignment="1">
      <alignment/>
    </xf>
    <xf numFmtId="0" fontId="4" fillId="0" borderId="0" xfId="0" applyFont="1" applyBorder="1" applyAlignment="1">
      <alignment/>
    </xf>
    <xf numFmtId="0" fontId="0" fillId="0" borderId="0" xfId="0" applyFont="1" applyFill="1" applyBorder="1" applyAlignment="1">
      <alignment/>
    </xf>
    <xf numFmtId="0" fontId="0" fillId="4" borderId="0" xfId="0" applyFont="1" applyFill="1" applyBorder="1" applyAlignment="1">
      <alignment/>
    </xf>
    <xf numFmtId="0" fontId="9" fillId="0" borderId="0" xfId="0" applyFont="1" applyBorder="1" applyAlignment="1">
      <alignment horizont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xf>
    <xf numFmtId="174" fontId="12" fillId="2" borderId="0" xfId="0" applyNumberFormat="1" applyFont="1" applyFill="1" applyBorder="1" applyAlignment="1">
      <alignment/>
    </xf>
    <xf numFmtId="174" fontId="12" fillId="0" borderId="0" xfId="0" applyNumberFormat="1" applyFont="1" applyBorder="1" applyAlignment="1">
      <alignment/>
    </xf>
    <xf numFmtId="174" fontId="12" fillId="3" borderId="0" xfId="0" applyNumberFormat="1" applyFont="1" applyFill="1" applyBorder="1" applyAlignment="1">
      <alignment/>
    </xf>
    <xf numFmtId="0" fontId="12" fillId="0" borderId="0" xfId="0" applyFont="1" applyBorder="1" applyAlignment="1">
      <alignment horizontal="left"/>
    </xf>
    <xf numFmtId="0" fontId="11" fillId="0" borderId="0" xfId="0" applyFont="1" applyBorder="1" applyAlignment="1">
      <alignment horizontal="center"/>
    </xf>
    <xf numFmtId="0" fontId="0" fillId="2" borderId="0" xfId="0" applyFill="1" applyBorder="1" applyAlignment="1">
      <alignment/>
    </xf>
    <xf numFmtId="0" fontId="11" fillId="0" borderId="0" xfId="0" applyFont="1" applyBorder="1" applyAlignment="1">
      <alignment horizontal="center" vertical="center" wrapText="1"/>
    </xf>
    <xf numFmtId="174" fontId="15" fillId="0" borderId="0" xfId="0" applyNumberFormat="1" applyFont="1" applyBorder="1" applyAlignment="1">
      <alignment/>
    </xf>
    <xf numFmtId="0" fontId="12" fillId="0" borderId="0" xfId="0" applyFont="1" applyFill="1" applyAlignment="1">
      <alignment/>
    </xf>
    <xf numFmtId="0" fontId="17" fillId="0" borderId="0" xfId="0" applyFont="1" applyBorder="1" applyAlignment="1">
      <alignment horizontal="left" vertical="center"/>
    </xf>
    <xf numFmtId="0" fontId="18" fillId="0" borderId="0" xfId="0" applyFont="1" applyBorder="1" applyAlignment="1">
      <alignment/>
    </xf>
    <xf numFmtId="0" fontId="19" fillId="0" borderId="0" xfId="0" applyFont="1" applyBorder="1" applyAlignment="1">
      <alignment horizontal="center" vertical="center"/>
    </xf>
    <xf numFmtId="0" fontId="19" fillId="0" borderId="0" xfId="0" applyFont="1" applyBorder="1" applyAlignment="1">
      <alignment horizontal="center"/>
    </xf>
    <xf numFmtId="174" fontId="15" fillId="2" borderId="0" xfId="0" applyNumberFormat="1" applyFont="1" applyFill="1" applyBorder="1" applyAlignment="1">
      <alignment/>
    </xf>
    <xf numFmtId="0" fontId="20" fillId="0" borderId="0" xfId="0" applyFont="1" applyBorder="1" applyAlignment="1">
      <alignment/>
    </xf>
    <xf numFmtId="0" fontId="20" fillId="4" borderId="0" xfId="0" applyFont="1" applyFill="1" applyBorder="1" applyAlignment="1">
      <alignment/>
    </xf>
    <xf numFmtId="0" fontId="20" fillId="0" borderId="0" xfId="0" applyFont="1" applyFill="1" applyBorder="1" applyAlignment="1">
      <alignment/>
    </xf>
    <xf numFmtId="0" fontId="21" fillId="0" borderId="0" xfId="0" applyFont="1" applyFill="1" applyAlignment="1">
      <alignment/>
    </xf>
    <xf numFmtId="174" fontId="21" fillId="2" borderId="0" xfId="0" applyNumberFormat="1" applyFont="1" applyFill="1" applyBorder="1" applyAlignment="1">
      <alignment/>
    </xf>
    <xf numFmtId="174" fontId="21" fillId="0" borderId="0" xfId="0" applyNumberFormat="1" applyFont="1" applyBorder="1" applyAlignment="1">
      <alignment/>
    </xf>
    <xf numFmtId="0" fontId="18" fillId="0" borderId="0" xfId="0" applyFont="1" applyFill="1" applyAlignment="1">
      <alignment/>
    </xf>
    <xf numFmtId="174" fontId="18" fillId="2" borderId="0" xfId="0" applyNumberFormat="1" applyFont="1" applyFill="1" applyBorder="1" applyAlignment="1">
      <alignment/>
    </xf>
    <xf numFmtId="174" fontId="18" fillId="0" borderId="0" xfId="0" applyNumberFormat="1" applyFont="1" applyBorder="1" applyAlignment="1">
      <alignment/>
    </xf>
    <xf numFmtId="0" fontId="21" fillId="0" borderId="0" xfId="0" applyFont="1" applyAlignment="1">
      <alignment/>
    </xf>
    <xf numFmtId="0" fontId="12" fillId="0" borderId="0" xfId="0" applyFont="1" applyAlignment="1">
      <alignment/>
    </xf>
    <xf numFmtId="174" fontId="8" fillId="0" borderId="0" xfId="0" applyNumberFormat="1" applyFont="1" applyAlignment="1" applyProtection="1">
      <alignment/>
      <protection/>
    </xf>
    <xf numFmtId="174" fontId="15" fillId="0" borderId="0" xfId="0" applyNumberFormat="1" applyFont="1" applyAlignment="1">
      <alignment/>
    </xf>
    <xf numFmtId="0" fontId="22" fillId="0" borderId="0" xfId="0" applyFont="1" applyAlignment="1" applyProtection="1">
      <alignment/>
      <protection/>
    </xf>
    <xf numFmtId="174" fontId="9" fillId="0" borderId="0" xfId="0" applyNumberFormat="1" applyFont="1" applyAlignment="1">
      <alignment/>
    </xf>
    <xf numFmtId="174" fontId="17" fillId="0" borderId="0" xfId="0" applyNumberFormat="1" applyFont="1" applyBorder="1" applyAlignment="1">
      <alignment/>
    </xf>
    <xf numFmtId="174" fontId="15" fillId="0" borderId="0" xfId="0" applyNumberFormat="1" applyFont="1" applyFill="1" applyBorder="1" applyAlignment="1">
      <alignment/>
    </xf>
    <xf numFmtId="0" fontId="9" fillId="0" borderId="0" xfId="0" applyFont="1" applyBorder="1" applyAlignment="1">
      <alignment horizontal="left" vertical="center" wrapText="1"/>
    </xf>
    <xf numFmtId="174" fontId="10" fillId="2" borderId="0" xfId="0" applyNumberFormat="1" applyFont="1" applyFill="1" applyBorder="1" applyAlignment="1">
      <alignment/>
    </xf>
    <xf numFmtId="0" fontId="9" fillId="0" borderId="0" xfId="0" applyFont="1" applyBorder="1" applyAlignment="1">
      <alignment horizontal="center" vertical="center"/>
    </xf>
    <xf numFmtId="0" fontId="8" fillId="0" borderId="0" xfId="0" applyFont="1" applyFill="1" applyAlignment="1" applyProtection="1">
      <alignment/>
      <protection/>
    </xf>
    <xf numFmtId="0" fontId="21" fillId="0" borderId="0" xfId="0" applyFont="1" applyBorder="1" applyAlignment="1">
      <alignment/>
    </xf>
    <xf numFmtId="177" fontId="0" fillId="0" borderId="0" xfId="0" applyNumberFormat="1" applyBorder="1" applyAlignment="1">
      <alignment/>
    </xf>
    <xf numFmtId="177" fontId="0" fillId="4" borderId="0" xfId="0" applyNumberFormat="1" applyFont="1" applyFill="1" applyBorder="1" applyAlignment="1">
      <alignment/>
    </xf>
    <xf numFmtId="177" fontId="20" fillId="4" borderId="0" xfId="0" applyNumberFormat="1" applyFont="1" applyFill="1" applyBorder="1" applyAlignment="1">
      <alignment/>
    </xf>
    <xf numFmtId="177" fontId="20" fillId="0" borderId="0" xfId="0" applyNumberFormat="1" applyFont="1" applyBorder="1" applyAlignment="1">
      <alignment/>
    </xf>
    <xf numFmtId="177" fontId="12" fillId="0" borderId="0" xfId="0" applyNumberFormat="1" applyFont="1" applyBorder="1" applyAlignment="1">
      <alignment/>
    </xf>
    <xf numFmtId="177" fontId="9" fillId="0" borderId="0" xfId="0" applyNumberFormat="1" applyFont="1" applyBorder="1" applyAlignment="1">
      <alignment/>
    </xf>
    <xf numFmtId="177" fontId="21" fillId="0" borderId="0" xfId="0" applyNumberFormat="1" applyFont="1" applyBorder="1" applyAlignment="1">
      <alignment/>
    </xf>
    <xf numFmtId="0" fontId="24" fillId="0" borderId="0" xfId="26" applyNumberFormat="1" applyFont="1" applyBorder="1">
      <alignment/>
      <protection/>
    </xf>
    <xf numFmtId="0" fontId="26" fillId="0" borderId="0" xfId="26" applyNumberFormat="1" applyFont="1" applyBorder="1">
      <alignment/>
      <protection/>
    </xf>
    <xf numFmtId="0" fontId="10" fillId="5" borderId="0" xfId="0" applyFont="1" applyFill="1" applyAlignment="1" applyProtection="1">
      <alignment horizontal="right"/>
      <protection/>
    </xf>
    <xf numFmtId="0" fontId="11" fillId="0" borderId="0" xfId="0" applyFont="1" applyAlignment="1">
      <alignment horizontal="right"/>
    </xf>
    <xf numFmtId="0" fontId="0" fillId="0" borderId="0" xfId="0" applyAlignment="1">
      <alignment wrapText="1"/>
    </xf>
    <xf numFmtId="174" fontId="12" fillId="0" borderId="0" xfId="0" applyNumberFormat="1" applyFont="1" applyAlignment="1">
      <alignment/>
    </xf>
    <xf numFmtId="174" fontId="17" fillId="5" borderId="0" xfId="0" applyNumberFormat="1" applyFont="1" applyFill="1" applyAlignment="1">
      <alignment/>
    </xf>
    <xf numFmtId="0" fontId="27" fillId="0" borderId="0" xfId="0" applyFont="1" applyAlignment="1">
      <alignment wrapText="1"/>
    </xf>
    <xf numFmtId="0" fontId="9" fillId="2" borderId="0" xfId="0" applyFont="1" applyFill="1" applyAlignment="1">
      <alignment horizontal="right"/>
    </xf>
    <xf numFmtId="0" fontId="17" fillId="5" borderId="0" xfId="0" applyFont="1" applyFill="1" applyAlignment="1">
      <alignment horizontal="right"/>
    </xf>
    <xf numFmtId="0" fontId="9" fillId="0" borderId="0" xfId="0" applyFont="1" applyAlignment="1">
      <alignment/>
    </xf>
    <xf numFmtId="174" fontId="9" fillId="2" borderId="0" xfId="0" applyNumberFormat="1" applyFont="1" applyFill="1" applyAlignment="1">
      <alignment/>
    </xf>
    <xf numFmtId="174" fontId="0" fillId="2" borderId="0" xfId="0" applyNumberFormat="1" applyFont="1" applyFill="1" applyAlignment="1">
      <alignment/>
    </xf>
    <xf numFmtId="174" fontId="20" fillId="5" borderId="0" xfId="0" applyNumberFormat="1" applyFont="1" applyFill="1" applyAlignment="1">
      <alignment/>
    </xf>
    <xf numFmtId="174" fontId="28" fillId="5" borderId="0" xfId="0" applyNumberFormat="1" applyFont="1" applyFill="1" applyAlignment="1" applyProtection="1">
      <alignment/>
      <protection/>
    </xf>
    <xf numFmtId="174" fontId="12" fillId="2" borderId="0" xfId="0" applyNumberFormat="1" applyFont="1" applyFill="1" applyAlignment="1">
      <alignment/>
    </xf>
    <xf numFmtId="174" fontId="15" fillId="5" borderId="0" xfId="0" applyNumberFormat="1" applyFont="1" applyFill="1" applyAlignment="1">
      <alignment/>
    </xf>
    <xf numFmtId="0" fontId="18" fillId="0" borderId="0" xfId="0" applyFont="1" applyAlignment="1">
      <alignment/>
    </xf>
    <xf numFmtId="3" fontId="6" fillId="0" borderId="0" xfId="30" applyNumberFormat="1" applyFont="1">
      <alignment/>
      <protection/>
    </xf>
    <xf numFmtId="0" fontId="4" fillId="0" borderId="0" xfId="29" applyFont="1">
      <alignment/>
      <protection/>
    </xf>
    <xf numFmtId="0" fontId="0" fillId="0" borderId="0" xfId="29">
      <alignment/>
      <protection/>
    </xf>
    <xf numFmtId="3" fontId="4" fillId="0" borderId="0" xfId="29" applyNumberFormat="1" applyFont="1">
      <alignment/>
      <protection/>
    </xf>
    <xf numFmtId="3" fontId="0" fillId="0" borderId="0" xfId="29" applyNumberFormat="1">
      <alignment/>
      <protection/>
    </xf>
    <xf numFmtId="0" fontId="4" fillId="0" borderId="0" xfId="29" applyFont="1" applyAlignment="1">
      <alignment horizontal="center"/>
      <protection/>
    </xf>
    <xf numFmtId="0" fontId="0" fillId="0" borderId="0" xfId="29" applyAlignment="1">
      <alignment horizontal="center"/>
      <protection/>
    </xf>
    <xf numFmtId="3" fontId="4" fillId="0" borderId="0" xfId="30" applyNumberFormat="1" applyFont="1">
      <alignment/>
      <protection/>
    </xf>
    <xf numFmtId="3" fontId="0" fillId="0" borderId="0" xfId="30" applyNumberFormat="1">
      <alignment/>
      <protection/>
    </xf>
    <xf numFmtId="0" fontId="0" fillId="0" borderId="0" xfId="30">
      <alignment/>
      <protection/>
    </xf>
    <xf numFmtId="3" fontId="4" fillId="0" borderId="0" xfId="30" applyNumberFormat="1" applyFont="1" applyAlignment="1">
      <alignment horizontal="center"/>
      <protection/>
    </xf>
    <xf numFmtId="0" fontId="0" fillId="0" borderId="0" xfId="30" applyAlignment="1">
      <alignment horizontal="center"/>
      <protection/>
    </xf>
    <xf numFmtId="0" fontId="4" fillId="0" borderId="0" xfId="30" applyFont="1" applyAlignment="1">
      <alignment horizontal="center"/>
      <protection/>
    </xf>
    <xf numFmtId="1" fontId="4" fillId="0" borderId="0" xfId="30" applyNumberFormat="1" applyFont="1" applyProtection="1">
      <alignment/>
      <protection/>
    </xf>
    <xf numFmtId="1" fontId="4" fillId="0" borderId="0" xfId="30" applyNumberFormat="1" applyFont="1">
      <alignment/>
      <protection/>
    </xf>
    <xf numFmtId="1" fontId="5" fillId="0" borderId="0" xfId="30" applyNumberFormat="1" applyFont="1">
      <alignment/>
      <protection/>
    </xf>
    <xf numFmtId="0" fontId="0" fillId="0" borderId="0" xfId="29" applyFont="1" applyAlignment="1">
      <alignment horizontal="center"/>
      <protection/>
    </xf>
    <xf numFmtId="0" fontId="0" fillId="0" borderId="0" xfId="29" applyFont="1">
      <alignment/>
      <protection/>
    </xf>
    <xf numFmtId="172" fontId="0" fillId="0" borderId="0" xfId="29" applyNumberFormat="1">
      <alignment/>
      <protection/>
    </xf>
    <xf numFmtId="177" fontId="0" fillId="0" borderId="0" xfId="29" applyNumberFormat="1">
      <alignment/>
      <protection/>
    </xf>
    <xf numFmtId="0" fontId="4" fillId="0" borderId="0" xfId="28" applyFont="1">
      <alignment/>
      <protection/>
    </xf>
    <xf numFmtId="0" fontId="0" fillId="0" borderId="0" xfId="28">
      <alignment/>
      <protection/>
    </xf>
    <xf numFmtId="3" fontId="4" fillId="0" borderId="0" xfId="28" applyNumberFormat="1" applyFont="1">
      <alignment/>
      <protection/>
    </xf>
    <xf numFmtId="3" fontId="0" fillId="0" borderId="0" xfId="28" applyNumberFormat="1">
      <alignment/>
      <protection/>
    </xf>
    <xf numFmtId="0" fontId="4" fillId="0" borderId="0" xfId="28" applyFont="1" applyAlignment="1">
      <alignment horizontal="center"/>
      <protection/>
    </xf>
    <xf numFmtId="0" fontId="0" fillId="0" borderId="0" xfId="28" applyAlignment="1">
      <alignment horizontal="center"/>
      <protection/>
    </xf>
    <xf numFmtId="3" fontId="4" fillId="0" borderId="0" xfId="28" applyNumberFormat="1" applyFont="1" applyAlignment="1">
      <alignment horizontal="center"/>
      <protection/>
    </xf>
    <xf numFmtId="3" fontId="0" fillId="0" borderId="0" xfId="28" applyNumberFormat="1" applyFont="1" applyAlignment="1">
      <alignment horizontal="center"/>
      <protection/>
    </xf>
    <xf numFmtId="3" fontId="0" fillId="0" borderId="0" xfId="28" applyNumberFormat="1" applyAlignment="1">
      <alignment horizontal="center"/>
      <protection/>
    </xf>
    <xf numFmtId="0" fontId="0" fillId="0" borderId="0" xfId="28" applyFont="1">
      <alignment/>
      <protection/>
    </xf>
    <xf numFmtId="172" fontId="0" fillId="0" borderId="0" xfId="28" applyNumberFormat="1">
      <alignment/>
      <protection/>
    </xf>
    <xf numFmtId="44" fontId="0" fillId="0" borderId="0" xfId="18" applyFont="1" applyAlignment="1">
      <alignment/>
    </xf>
    <xf numFmtId="43" fontId="0" fillId="0" borderId="0" xfId="15" applyFont="1" applyAlignment="1">
      <alignment/>
    </xf>
    <xf numFmtId="174" fontId="0" fillId="0" borderId="0" xfId="0" applyNumberFormat="1" applyFont="1" applyBorder="1" applyAlignment="1">
      <alignment/>
    </xf>
    <xf numFmtId="188" fontId="0" fillId="0" borderId="0" xfId="0" applyNumberFormat="1" applyAlignment="1">
      <alignment/>
    </xf>
    <xf numFmtId="0" fontId="0" fillId="0" borderId="0" xfId="0" applyNumberFormat="1" applyAlignment="1">
      <alignment/>
    </xf>
    <xf numFmtId="175" fontId="0" fillId="0" borderId="0" xfId="0" applyNumberFormat="1" applyAlignment="1">
      <alignment/>
    </xf>
    <xf numFmtId="172" fontId="4" fillId="0" borderId="0" xfId="0" applyNumberFormat="1" applyFont="1" applyAlignment="1">
      <alignment/>
    </xf>
    <xf numFmtId="178" fontId="0" fillId="0" borderId="0" xfId="0" applyNumberFormat="1" applyAlignment="1">
      <alignment/>
    </xf>
    <xf numFmtId="177" fontId="0" fillId="0" borderId="0" xfId="24" applyNumberFormat="1" applyFont="1">
      <alignment/>
      <protection/>
    </xf>
    <xf numFmtId="0" fontId="27" fillId="0" borderId="0" xfId="0" applyFont="1" applyAlignment="1">
      <alignment wrapText="1"/>
    </xf>
    <xf numFmtId="0" fontId="0" fillId="0" borderId="0" xfId="0" applyAlignment="1">
      <alignment wrapText="1"/>
    </xf>
    <xf numFmtId="0" fontId="4" fillId="0" borderId="0" xfId="0" applyFont="1" applyAlignment="1">
      <alignment/>
    </xf>
    <xf numFmtId="0" fontId="16" fillId="0" borderId="0" xfId="0" applyFont="1" applyAlignment="1">
      <alignment wrapText="1"/>
    </xf>
    <xf numFmtId="0" fontId="4" fillId="0" borderId="0" xfId="0" applyFont="1" applyAlignment="1">
      <alignment horizontal="center"/>
    </xf>
    <xf numFmtId="0" fontId="0" fillId="0" borderId="0" xfId="0" applyAlignment="1">
      <alignment/>
    </xf>
    <xf numFmtId="0" fontId="3" fillId="0" borderId="0" xfId="26" applyFont="1">
      <alignment/>
      <protection/>
    </xf>
  </cellXfs>
  <cellStyles count="17">
    <cellStyle name="Normal" xfId="0"/>
    <cellStyle name="Comma" xfId="15"/>
    <cellStyle name="Comma [0]" xfId="16"/>
    <cellStyle name="Comma_past_long_series_EU_and_CEE_data" xfId="17"/>
    <cellStyle name="Currency" xfId="18"/>
    <cellStyle name="Currency [0]" xfId="19"/>
    <cellStyle name="Currency [0]_past_long_series_EU_and_CEE_data" xfId="20"/>
    <cellStyle name="Currency_past_long_series_EU_and_CEE_data" xfId="21"/>
    <cellStyle name="Hyperlink" xfId="22"/>
    <cellStyle name="Normal_dataset_Slovenia_final" xfId="23"/>
    <cellStyle name="Normal_growth_accounting_and_human_capital" xfId="24"/>
    <cellStyle name="Normal_Production function-WGOG" xfId="25"/>
    <cellStyle name="Normal_table13_5" xfId="26"/>
    <cellStyle name="Percent" xfId="27"/>
    <cellStyle name="Standaard_EASTGC04I(1999)" xfId="28"/>
    <cellStyle name="Standaard_OECDGc04I(1999)" xfId="29"/>
    <cellStyle name="Standaard_OECDP04I"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chartsheet" Target="chartsheets/sheet6.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chartsheet" Target="chartsheets/sheet7.xml" /><Relationship Id="rId26" Type="http://schemas.openxmlformats.org/officeDocument/2006/relationships/worksheet" Target="worksheets/sheet19.xml" /><Relationship Id="rId27" Type="http://schemas.openxmlformats.org/officeDocument/2006/relationships/chartsheet" Target="chartsheets/sheet8.xml" /><Relationship Id="rId28" Type="http://schemas.openxmlformats.org/officeDocument/2006/relationships/worksheet" Target="worksheets/sheet20.xml" /><Relationship Id="rId29" Type="http://schemas.openxmlformats.org/officeDocument/2006/relationships/worksheet" Target="worksheets/sheet21.xml" /><Relationship Id="rId30" Type="http://schemas.openxmlformats.org/officeDocument/2006/relationships/chartsheet" Target="chartsheets/sheet9.xml" /><Relationship Id="rId31" Type="http://schemas.openxmlformats.org/officeDocument/2006/relationships/worksheet" Target="worksheets/sheet22.xml" /><Relationship Id="rId32" Type="http://schemas.openxmlformats.org/officeDocument/2006/relationships/worksheet" Target="worksheets/sheet23.xml" /><Relationship Id="rId33" Type="http://schemas.openxmlformats.org/officeDocument/2006/relationships/worksheet" Target="worksheets/sheet24.xml" /><Relationship Id="rId34" Type="http://schemas.openxmlformats.org/officeDocument/2006/relationships/chartsheet" Target="chartsheets/sheet10.xml" /><Relationship Id="rId35" Type="http://schemas.openxmlformats.org/officeDocument/2006/relationships/worksheet" Target="worksheets/sheet25.xml" /><Relationship Id="rId36" Type="http://schemas.openxmlformats.org/officeDocument/2006/relationships/chartsheet" Target="chartsheets/sheet11.xml" /><Relationship Id="rId37" Type="http://schemas.openxmlformats.org/officeDocument/2006/relationships/worksheet" Target="worksheets/sheet26.xml" /><Relationship Id="rId38" Type="http://schemas.openxmlformats.org/officeDocument/2006/relationships/worksheet" Target="worksheets/sheet27.xml" /><Relationship Id="rId39" Type="http://schemas.openxmlformats.org/officeDocument/2006/relationships/worksheet" Target="worksheets/sheet28.xml" /><Relationship Id="rId40" Type="http://schemas.openxmlformats.org/officeDocument/2006/relationships/worksheet" Target="worksheets/sheet29.xml" /><Relationship Id="rId41" Type="http://schemas.openxmlformats.org/officeDocument/2006/relationships/worksheet" Target="worksheets/sheet30.xml" /><Relationship Id="rId42" Type="http://schemas.openxmlformats.org/officeDocument/2006/relationships/worksheet" Target="worksheets/sheet31.xml" /><Relationship Id="rId43" Type="http://schemas.openxmlformats.org/officeDocument/2006/relationships/worksheet" Target="worksheets/sheet32.xml" /><Relationship Id="rId44" Type="http://schemas.openxmlformats.org/officeDocument/2006/relationships/worksheet" Target="worksheets/sheet33.xml" /><Relationship Id="rId45" Type="http://schemas.openxmlformats.org/officeDocument/2006/relationships/worksheet" Target="worksheets/sheet34.xml" /><Relationship Id="rId46" Type="http://schemas.openxmlformats.org/officeDocument/2006/relationships/worksheet" Target="worksheets/sheet35.xml" /><Relationship Id="rId47" Type="http://schemas.openxmlformats.org/officeDocument/2006/relationships/chartsheet" Target="chartsheets/sheet12.xml" /><Relationship Id="rId48" Type="http://schemas.openxmlformats.org/officeDocument/2006/relationships/worksheet" Target="worksheets/sheet36.xml" /><Relationship Id="rId49" Type="http://schemas.openxmlformats.org/officeDocument/2006/relationships/worksheet" Target="worksheets/sheet37.xml" /><Relationship Id="rId50" Type="http://schemas.openxmlformats.org/officeDocument/2006/relationships/chartsheet" Target="chartsheets/sheet13.xml" /><Relationship Id="rId51" Type="http://schemas.openxmlformats.org/officeDocument/2006/relationships/worksheet" Target="worksheets/sheet38.xml" /><Relationship Id="rId52" Type="http://schemas.openxmlformats.org/officeDocument/2006/relationships/worksheet" Target="worksheets/sheet39.xml" /><Relationship Id="rId53" Type="http://schemas.openxmlformats.org/officeDocument/2006/relationships/chartsheet" Target="chartsheets/sheet14.xml" /><Relationship Id="rId54" Type="http://schemas.openxmlformats.org/officeDocument/2006/relationships/worksheet" Target="worksheets/sheet40.xml" /><Relationship Id="rId55" Type="http://schemas.openxmlformats.org/officeDocument/2006/relationships/worksheet" Target="worksheets/sheet41.xml" /><Relationship Id="rId56" Type="http://schemas.openxmlformats.org/officeDocument/2006/relationships/worksheet" Target="worksheets/sheet42.xml" /><Relationship Id="rId57" Type="http://schemas.openxmlformats.org/officeDocument/2006/relationships/worksheet" Target="worksheets/sheet43.xml" /><Relationship Id="rId58" Type="http://schemas.openxmlformats.org/officeDocument/2006/relationships/worksheet" Target="worksheets/sheet44.xml" /><Relationship Id="rId59" Type="http://schemas.openxmlformats.org/officeDocument/2006/relationships/worksheet" Target="worksheets/sheet45.xml" /><Relationship Id="rId60" Type="http://schemas.openxmlformats.org/officeDocument/2006/relationships/worksheet" Target="worksheets/sheet46.xml" /><Relationship Id="rId61" Type="http://schemas.openxmlformats.org/officeDocument/2006/relationships/worksheet" Target="worksheets/sheet47.xml" /><Relationship Id="rId62" Type="http://schemas.openxmlformats.org/officeDocument/2006/relationships/worksheet" Target="worksheets/sheet48.xml" /><Relationship Id="rId63" Type="http://schemas.openxmlformats.org/officeDocument/2006/relationships/chartsheet" Target="chartsheets/sheet15.xml" /><Relationship Id="rId64" Type="http://schemas.openxmlformats.org/officeDocument/2006/relationships/worksheet" Target="worksheets/sheet49.xml" /><Relationship Id="rId65" Type="http://schemas.openxmlformats.org/officeDocument/2006/relationships/worksheet" Target="worksheets/sheet50.xml" /><Relationship Id="rId66" Type="http://schemas.openxmlformats.org/officeDocument/2006/relationships/worksheet" Target="worksheets/sheet51.xml" /><Relationship Id="rId67" Type="http://schemas.openxmlformats.org/officeDocument/2006/relationships/chartsheet" Target="chartsheets/sheet16.xml" /><Relationship Id="rId68" Type="http://schemas.openxmlformats.org/officeDocument/2006/relationships/worksheet" Target="worksheets/sheet52.xml" /><Relationship Id="rId69" Type="http://schemas.openxmlformats.org/officeDocument/2006/relationships/worksheet" Target="worksheets/sheet53.xml" /><Relationship Id="rId70" Type="http://schemas.openxmlformats.org/officeDocument/2006/relationships/chartsheet" Target="chartsheets/sheet17.xml" /><Relationship Id="rId71" Type="http://schemas.openxmlformats.org/officeDocument/2006/relationships/worksheet" Target="worksheets/sheet54.xml" /><Relationship Id="rId72" Type="http://schemas.openxmlformats.org/officeDocument/2006/relationships/worksheet" Target="worksheets/sheet55.xml" /><Relationship Id="rId73" Type="http://schemas.openxmlformats.org/officeDocument/2006/relationships/chartsheet" Target="chartsheets/sheet18.xml" /><Relationship Id="rId74" Type="http://schemas.openxmlformats.org/officeDocument/2006/relationships/worksheet" Target="worksheets/sheet56.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externalLink" Target="externalLinks/externalLink1.xml" /><Relationship Id="rId78" Type="http://schemas.openxmlformats.org/officeDocument/2006/relationships/externalLink" Target="externalLinks/externalLink2.xml" /><Relationship Id="rId79" Type="http://schemas.openxmlformats.org/officeDocument/2006/relationships/externalLink" Target="externalLinks/externalLink3.xml" /><Relationship Id="rId8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
          <c:w val="0.9195"/>
          <c:h val="1"/>
        </c:manualLayout>
      </c:layout>
      <c:lineChart>
        <c:grouping val="standard"/>
        <c:varyColors val="0"/>
        <c:ser>
          <c:idx val="0"/>
          <c:order val="0"/>
          <c:tx>
            <c:v>Real GDP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gdp!$J$5:$J$27</c:f>
              <c:numCache>
                <c:ptCount val="23"/>
                <c:pt idx="0">
                  <c:v>14.726809955899355</c:v>
                </c:pt>
                <c:pt idx="1">
                  <c:v>14.717850214527884</c:v>
                </c:pt>
                <c:pt idx="2">
                  <c:v>14.718850714861468</c:v>
                </c:pt>
                <c:pt idx="3">
                  <c:v>14.725875329798432</c:v>
                </c:pt>
                <c:pt idx="4">
                  <c:v>14.747098966250059</c:v>
                </c:pt>
                <c:pt idx="5">
                  <c:v>14.758159913609484</c:v>
                </c:pt>
                <c:pt idx="6">
                  <c:v>14.789650580700854</c:v>
                </c:pt>
                <c:pt idx="7">
                  <c:v>14.77871064066252</c:v>
                </c:pt>
                <c:pt idx="8">
                  <c:v>14.761853523596097</c:v>
                </c:pt>
                <c:pt idx="9">
                  <c:v>14.744013605467766</c:v>
                </c:pt>
                <c:pt idx="10">
                  <c:v>14.698084951139082</c:v>
                </c:pt>
                <c:pt idx="11">
                  <c:v>14.612824122877692</c:v>
                </c:pt>
                <c:pt idx="12">
                  <c:v>14.559627501840595</c:v>
                </c:pt>
                <c:pt idx="13">
                  <c:v>14.587512613973535</c:v>
                </c:pt>
                <c:pt idx="14">
                  <c:v>14.63932905565429</c:v>
                </c:pt>
                <c:pt idx="15">
                  <c:v>14.679520982197726</c:v>
                </c:pt>
                <c:pt idx="16">
                  <c:v>14.715693534130818</c:v>
                </c:pt>
                <c:pt idx="17">
                  <c:v>14.762357542818282</c:v>
                </c:pt>
                <c:pt idx="18">
                  <c:v>14.797140836919413</c:v>
                </c:pt>
                <c:pt idx="19">
                  <c:v>14.851608574933486</c:v>
                </c:pt>
                <c:pt idx="20">
                  <c:v>14.89011052803964</c:v>
                </c:pt>
                <c:pt idx="21">
                  <c:v>14.916181178755433</c:v>
                </c:pt>
                <c:pt idx="22">
                  <c:v>14.949029044536427</c:v>
                </c:pt>
              </c:numCache>
            </c:numRef>
          </c:val>
          <c:smooth val="0"/>
        </c:ser>
        <c:axId val="7615731"/>
        <c:axId val="1432716"/>
      </c:lineChart>
      <c:lineChart>
        <c:grouping val="standard"/>
        <c:varyColors val="0"/>
        <c:ser>
          <c:idx val="1"/>
          <c:order val="1"/>
          <c:tx>
            <c:v>Growth rate of real GDP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gdp!$H$5:$H$27</c:f>
              <c:numCache>
                <c:ptCount val="23"/>
                <c:pt idx="1">
                  <c:v>-0.008999999999999914</c:v>
                </c:pt>
                <c:pt idx="2">
                  <c:v>0.0009999999999999432</c:v>
                </c:pt>
                <c:pt idx="3">
                  <c:v>0.0069999999999998865</c:v>
                </c:pt>
                <c:pt idx="4">
                  <c:v>0.020999999999999942</c:v>
                </c:pt>
                <c:pt idx="5">
                  <c:v>0.010999999999999944</c:v>
                </c:pt>
                <c:pt idx="6">
                  <c:v>0.030999999999999944</c:v>
                </c:pt>
                <c:pt idx="7">
                  <c:v>-0.010999999999999944</c:v>
                </c:pt>
                <c:pt idx="8">
                  <c:v>-0.017</c:v>
                </c:pt>
                <c:pt idx="9">
                  <c:v>-0.018000000000000002</c:v>
                </c:pt>
                <c:pt idx="10">
                  <c:v>-0.04699970939501824</c:v>
                </c:pt>
                <c:pt idx="11">
                  <c:v>-0.0890010719147341</c:v>
                </c:pt>
                <c:pt idx="12">
                  <c:v>-0.054636988553099</c:v>
                </c:pt>
                <c:pt idx="13">
                  <c:v>0.02788511213294085</c:v>
                </c:pt>
                <c:pt idx="14">
                  <c:v>0.051816441680755165</c:v>
                </c:pt>
                <c:pt idx="15">
                  <c:v>0.04019192654343613</c:v>
                </c:pt>
                <c:pt idx="16">
                  <c:v>0.03617255193309152</c:v>
                </c:pt>
                <c:pt idx="17">
                  <c:v>0.046664008687465494</c:v>
                </c:pt>
                <c:pt idx="18">
                  <c:v>0.03478329410113002</c:v>
                </c:pt>
                <c:pt idx="19">
                  <c:v>0.05446773801407272</c:v>
                </c:pt>
                <c:pt idx="20">
                  <c:v>0.03850195310615546</c:v>
                </c:pt>
                <c:pt idx="21">
                  <c:v>0.026070650715791604</c:v>
                </c:pt>
                <c:pt idx="22">
                  <c:v>0.032847865780994474</c:v>
                </c:pt>
              </c:numCache>
            </c:numRef>
          </c:val>
          <c:smooth val="0"/>
        </c:ser>
        <c:axId val="12894445"/>
        <c:axId val="48941142"/>
      </c:lineChart>
      <c:catAx>
        <c:axId val="7615731"/>
        <c:scaling>
          <c:orientation val="minMax"/>
        </c:scaling>
        <c:axPos val="b"/>
        <c:delete val="0"/>
        <c:numFmt formatCode="General" sourceLinked="1"/>
        <c:majorTickMark val="out"/>
        <c:minorTickMark val="none"/>
        <c:tickLblPos val="nextTo"/>
        <c:crossAx val="1432716"/>
        <c:crosses val="autoZero"/>
        <c:auto val="1"/>
        <c:lblOffset val="100"/>
        <c:tickLblSkip val="2"/>
        <c:noMultiLvlLbl val="0"/>
      </c:catAx>
      <c:valAx>
        <c:axId val="1432716"/>
        <c:scaling>
          <c:orientation val="minMax"/>
          <c:max val="15"/>
          <c:min val="14.5"/>
        </c:scaling>
        <c:axPos val="l"/>
        <c:title>
          <c:tx>
            <c:rich>
              <a:bodyPr vert="horz" rot="-5400000" anchor="ctr"/>
              <a:lstStyle/>
              <a:p>
                <a:pPr algn="ctr">
                  <a:defRPr/>
                </a:pPr>
                <a:r>
                  <a:rPr lang="en-US"/>
                  <a:t>Millions of 1995 SIT, in logs</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crossAx val="7615731"/>
        <c:crossesAt val="1"/>
        <c:crossBetween val="midCat"/>
        <c:dispUnits/>
        <c:majorUnit val="0.1"/>
      </c:valAx>
      <c:catAx>
        <c:axId val="12894445"/>
        <c:scaling>
          <c:orientation val="minMax"/>
        </c:scaling>
        <c:axPos val="b"/>
        <c:delete val="1"/>
        <c:majorTickMark val="in"/>
        <c:minorTickMark val="none"/>
        <c:tickLblPos val="nextTo"/>
        <c:crossAx val="48941142"/>
        <c:crosses val="autoZero"/>
        <c:auto val="1"/>
        <c:lblOffset val="100"/>
        <c:noMultiLvlLbl val="0"/>
      </c:catAx>
      <c:valAx>
        <c:axId val="48941142"/>
        <c:scaling>
          <c:orientation val="minMax"/>
          <c:max val="0.1"/>
        </c:scaling>
        <c:axPos val="l"/>
        <c:title>
          <c:tx>
            <c:rich>
              <a:bodyPr vert="horz" rot="-5400000" anchor="ctr"/>
              <a:lstStyle/>
              <a:p>
                <a:pPr algn="ctr">
                  <a:defRPr/>
                </a:pPr>
                <a:r>
                  <a:rPr lang="en-US"/>
                  <a:t>Annual growth rate</a:t>
                </a:r>
              </a:p>
            </c:rich>
          </c:tx>
          <c:layout>
            <c:manualLayout>
              <c:xMode val="factor"/>
              <c:yMode val="factor"/>
              <c:x val="-0.00275"/>
              <c:y val="-0.005"/>
            </c:manualLayout>
          </c:layout>
          <c:overlay val="0"/>
          <c:spPr>
            <a:noFill/>
            <a:ln>
              <a:noFill/>
            </a:ln>
          </c:spPr>
        </c:title>
        <c:delete val="0"/>
        <c:numFmt formatCode="0.00" sourceLinked="0"/>
        <c:majorTickMark val="in"/>
        <c:minorTickMark val="none"/>
        <c:tickLblPos val="nextTo"/>
        <c:crossAx val="12894445"/>
        <c:crosses val="max"/>
        <c:crossBetween val="midCat"/>
        <c:dispUnits/>
      </c:valAx>
      <c:spPr>
        <a:noFill/>
        <a:ln>
          <a:noFill/>
        </a:ln>
      </c:spPr>
    </c:plotArea>
    <c:legend>
      <c:legendPos val="r"/>
      <c:layout>
        <c:manualLayout>
          <c:xMode val="edge"/>
          <c:yMode val="edge"/>
          <c:x val="0.17825"/>
          <c:y val="0.0385"/>
          <c:w val="0.317"/>
          <c:h val="0.149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Employment high- over low-skilled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'low- and high-skilled'!$C$3:$L$3</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'low- and high-skilled'!$C$18:$L$18</c:f>
              <c:numCache>
                <c:ptCount val="10"/>
                <c:pt idx="0">
                  <c:v>1</c:v>
                </c:pt>
                <c:pt idx="1">
                  <c:v>1.0207844975777465</c:v>
                </c:pt>
                <c:pt idx="2">
                  <c:v>0.9684388689765034</c:v>
                </c:pt>
                <c:pt idx="3">
                  <c:v>0.9023930096316156</c:v>
                </c:pt>
                <c:pt idx="4">
                  <c:v>0.9265016311648435</c:v>
                </c:pt>
                <c:pt idx="5">
                  <c:v>1.0170223203335786</c:v>
                </c:pt>
                <c:pt idx="6">
                  <c:v>1.0718599033816425</c:v>
                </c:pt>
                <c:pt idx="7">
                  <c:v>1.0942083022619935</c:v>
                </c:pt>
                <c:pt idx="8">
                  <c:v>1.1031955438287893</c:v>
                </c:pt>
                <c:pt idx="9">
                  <c:v>1.182094611435123</c:v>
                </c:pt>
              </c:numCache>
            </c:numRef>
          </c:val>
          <c:smooth val="0"/>
        </c:ser>
        <c:ser>
          <c:idx val="1"/>
          <c:order val="1"/>
          <c:tx>
            <c:v>Wages high- over low-skilled</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'low- and high-skilled'!$C$3:$L$3</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'low- and high-skilled'!$C$32:$L$32</c:f>
              <c:numCache>
                <c:ptCount val="10"/>
                <c:pt idx="0">
                  <c:v>1</c:v>
                </c:pt>
                <c:pt idx="1">
                  <c:v>1.016577351254792</c:v>
                </c:pt>
                <c:pt idx="2">
                  <c:v>0.9953311209321056</c:v>
                </c:pt>
                <c:pt idx="3">
                  <c:v>0.9861530323680289</c:v>
                </c:pt>
                <c:pt idx="4">
                  <c:v>1.1035768677679072</c:v>
                </c:pt>
                <c:pt idx="5">
                  <c:v>1.2228938122122632</c:v>
                </c:pt>
                <c:pt idx="6">
                  <c:v>1.038285938086694</c:v>
                </c:pt>
                <c:pt idx="7">
                  <c:v>1.0159112697915729</c:v>
                </c:pt>
                <c:pt idx="8">
                  <c:v>1.0287051683355442</c:v>
                </c:pt>
                <c:pt idx="9">
                  <c:v>1.0964280255849166</c:v>
                </c:pt>
              </c:numCache>
            </c:numRef>
          </c:val>
          <c:smooth val="0"/>
        </c:ser>
        <c:axId val="61475429"/>
        <c:axId val="16407950"/>
      </c:lineChart>
      <c:catAx>
        <c:axId val="61475429"/>
        <c:scaling>
          <c:orientation val="minMax"/>
        </c:scaling>
        <c:axPos val="b"/>
        <c:delete val="0"/>
        <c:numFmt formatCode="General" sourceLinked="1"/>
        <c:majorTickMark val="out"/>
        <c:minorTickMark val="none"/>
        <c:tickLblPos val="nextTo"/>
        <c:crossAx val="16407950"/>
        <c:crosses val="autoZero"/>
        <c:auto val="1"/>
        <c:lblOffset val="100"/>
        <c:noMultiLvlLbl val="0"/>
      </c:catAx>
      <c:valAx>
        <c:axId val="16407950"/>
        <c:scaling>
          <c:orientation val="minMax"/>
          <c:max val="1.3"/>
          <c:min val="0.7"/>
        </c:scaling>
        <c:axPos val="l"/>
        <c:title>
          <c:tx>
            <c:rich>
              <a:bodyPr vert="horz" rot="-5400000" anchor="ctr"/>
              <a:lstStyle/>
              <a:p>
                <a:pPr algn="ctr">
                  <a:defRPr/>
                </a:pPr>
                <a:r>
                  <a:rPr lang="en-US" cap="none" sz="1000" b="1" i="0" u="none" baseline="0">
                    <a:latin typeface="Arial"/>
                    <a:ea typeface="Arial"/>
                    <a:cs typeface="Arial"/>
                  </a:rPr>
                  <a:t>1993=1</a:t>
                </a:r>
              </a:p>
            </c:rich>
          </c:tx>
          <c:layout/>
          <c:overlay val="0"/>
          <c:spPr>
            <a:noFill/>
            <a:ln>
              <a:noFill/>
            </a:ln>
          </c:spPr>
        </c:title>
        <c:delete val="0"/>
        <c:numFmt formatCode="General" sourceLinked="1"/>
        <c:majorTickMark val="out"/>
        <c:minorTickMark val="none"/>
        <c:tickLblPos val="nextTo"/>
        <c:crossAx val="61475429"/>
        <c:crossesAt val="1"/>
        <c:crossBetween val="midCat"/>
        <c:dispUnits/>
        <c:majorUnit val="0.1"/>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
          <c:w val="0.926"/>
          <c:h val="1"/>
        </c:manualLayout>
      </c:layout>
      <c:lineChart>
        <c:grouping val="standard"/>
        <c:varyColors val="0"/>
        <c:ser>
          <c:idx val="0"/>
          <c:order val="0"/>
          <c:tx>
            <c:v>Capital stock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'capital pim method'!$A$14:$A$36</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'capital pim method'!$Z$14:$Z$36</c:f>
              <c:numCache>
                <c:ptCount val="23"/>
                <c:pt idx="0">
                  <c:v>15.369422596726508</c:v>
                </c:pt>
                <c:pt idx="1">
                  <c:v>15.39430588951297</c:v>
                </c:pt>
                <c:pt idx="2">
                  <c:v>15.411476280682711</c:v>
                </c:pt>
                <c:pt idx="3">
                  <c:v>15.42043201104535</c:v>
                </c:pt>
                <c:pt idx="4">
                  <c:v>15.427406807745237</c:v>
                </c:pt>
                <c:pt idx="5">
                  <c:v>15.43341795306933</c:v>
                </c:pt>
                <c:pt idx="6">
                  <c:v>15.46066249699633</c:v>
                </c:pt>
                <c:pt idx="7">
                  <c:v>15.400616126147881</c:v>
                </c:pt>
                <c:pt idx="8">
                  <c:v>15.34298128204109</c:v>
                </c:pt>
                <c:pt idx="9">
                  <c:v>15.269096231190622</c:v>
                </c:pt>
                <c:pt idx="10">
                  <c:v>15.213147041514022</c:v>
                </c:pt>
                <c:pt idx="11">
                  <c:v>15.155522877149188</c:v>
                </c:pt>
                <c:pt idx="12">
                  <c:v>15.090192354605161</c:v>
                </c:pt>
                <c:pt idx="13">
                  <c:v>15.117382350170217</c:v>
                </c:pt>
                <c:pt idx="14">
                  <c:v>15.155585998753104</c:v>
                </c:pt>
                <c:pt idx="15">
                  <c:v>15.207378049253261</c:v>
                </c:pt>
                <c:pt idx="16">
                  <c:v>15.266054739611834</c:v>
                </c:pt>
                <c:pt idx="17">
                  <c:v>15.333662479118573</c:v>
                </c:pt>
                <c:pt idx="18">
                  <c:v>15.404998502897298</c:v>
                </c:pt>
                <c:pt idx="19">
                  <c:v>15.493827158773032</c:v>
                </c:pt>
                <c:pt idx="20">
                  <c:v>15.570389763819733</c:v>
                </c:pt>
                <c:pt idx="21">
                  <c:v>15.641896594048694</c:v>
                </c:pt>
                <c:pt idx="22">
                  <c:v>15.707836185393532</c:v>
                </c:pt>
              </c:numCache>
            </c:numRef>
          </c:val>
          <c:smooth val="0"/>
        </c:ser>
        <c:axId val="13453823"/>
        <c:axId val="53975544"/>
      </c:lineChart>
      <c:lineChart>
        <c:grouping val="standard"/>
        <c:varyColors val="0"/>
        <c:ser>
          <c:idx val="1"/>
          <c:order val="1"/>
          <c:tx>
            <c:v>Capital-output ratio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'capital pim method'!$AB$14:$AB$36</c:f>
              <c:numCache>
                <c:ptCount val="23"/>
                <c:pt idx="0">
                  <c:v>1.9014421809055868</c:v>
                </c:pt>
                <c:pt idx="1">
                  <c:v>1.966894051535697</c:v>
                </c:pt>
                <c:pt idx="2">
                  <c:v>1.9989570425572314</c:v>
                </c:pt>
                <c:pt idx="3">
                  <c:v>2.002820988999875</c:v>
                </c:pt>
                <c:pt idx="4">
                  <c:v>1.9744854672410663</c:v>
                </c:pt>
                <c:pt idx="5">
                  <c:v>1.964539839370656</c:v>
                </c:pt>
                <c:pt idx="6">
                  <c:v>1.9562158461081702</c:v>
                </c:pt>
                <c:pt idx="7">
                  <c:v>1.8624735791605733</c:v>
                </c:pt>
                <c:pt idx="8">
                  <c:v>1.788053786877278</c:v>
                </c:pt>
                <c:pt idx="9">
                  <c:v>1.6905985295339432</c:v>
                </c:pt>
                <c:pt idx="10">
                  <c:v>1.6737424218658046</c:v>
                </c:pt>
                <c:pt idx="11">
                  <c:v>1.720644197734076</c:v>
                </c:pt>
                <c:pt idx="12">
                  <c:v>1.6998922263104457</c:v>
                </c:pt>
                <c:pt idx="13">
                  <c:v>1.6987110136481274</c:v>
                </c:pt>
                <c:pt idx="14">
                  <c:v>1.6757434928120962</c:v>
                </c:pt>
                <c:pt idx="15">
                  <c:v>1.6952955087049013</c:v>
                </c:pt>
                <c:pt idx="16">
                  <c:v>1.7338791914392933</c:v>
                </c:pt>
                <c:pt idx="17">
                  <c:v>1.770576033507363</c:v>
                </c:pt>
                <c:pt idx="18">
                  <c:v>1.8364928003837142</c:v>
                </c:pt>
                <c:pt idx="19">
                  <c:v>1.900693051937117</c:v>
                </c:pt>
                <c:pt idx="20">
                  <c:v>1.974428986480185</c:v>
                </c:pt>
                <c:pt idx="21">
                  <c:v>2.0662087686822472</c:v>
                </c:pt>
                <c:pt idx="22">
                  <c:v>2.1357270788428946</c:v>
                </c:pt>
              </c:numCache>
            </c:numRef>
          </c:val>
          <c:smooth val="0"/>
        </c:ser>
        <c:axId val="16017849"/>
        <c:axId val="9942914"/>
      </c:lineChart>
      <c:catAx>
        <c:axId val="13453823"/>
        <c:scaling>
          <c:orientation val="minMax"/>
        </c:scaling>
        <c:axPos val="b"/>
        <c:delete val="0"/>
        <c:numFmt formatCode="General" sourceLinked="1"/>
        <c:majorTickMark val="out"/>
        <c:minorTickMark val="none"/>
        <c:tickLblPos val="nextTo"/>
        <c:crossAx val="53975544"/>
        <c:crosses val="autoZero"/>
        <c:auto val="1"/>
        <c:lblOffset val="100"/>
        <c:tickLblSkip val="2"/>
        <c:noMultiLvlLbl val="0"/>
      </c:catAx>
      <c:valAx>
        <c:axId val="53975544"/>
        <c:scaling>
          <c:orientation val="minMax"/>
          <c:max val="15.8"/>
          <c:min val="14.8"/>
        </c:scaling>
        <c:axPos val="l"/>
        <c:title>
          <c:tx>
            <c:rich>
              <a:bodyPr vert="horz" rot="-5400000" anchor="ctr"/>
              <a:lstStyle/>
              <a:p>
                <a:pPr algn="ctr">
                  <a:defRPr/>
                </a:pPr>
                <a:r>
                  <a:rPr lang="en-US"/>
                  <a:t>Millions of 1995 SIT, in logs</a:t>
                </a:r>
              </a:p>
            </c:rich>
          </c:tx>
          <c:layout>
            <c:manualLayout>
              <c:xMode val="factor"/>
              <c:yMode val="factor"/>
              <c:x val="-0.0065"/>
              <c:y val="0"/>
            </c:manualLayout>
          </c:layout>
          <c:overlay val="0"/>
          <c:spPr>
            <a:noFill/>
            <a:ln>
              <a:noFill/>
            </a:ln>
          </c:spPr>
        </c:title>
        <c:delete val="0"/>
        <c:numFmt formatCode="0.0" sourceLinked="0"/>
        <c:majorTickMark val="out"/>
        <c:minorTickMark val="none"/>
        <c:tickLblPos val="nextTo"/>
        <c:crossAx val="13453823"/>
        <c:crossesAt val="1"/>
        <c:crossBetween val="midCat"/>
        <c:dispUnits/>
      </c:valAx>
      <c:catAx>
        <c:axId val="16017849"/>
        <c:scaling>
          <c:orientation val="minMax"/>
        </c:scaling>
        <c:axPos val="b"/>
        <c:delete val="1"/>
        <c:majorTickMark val="in"/>
        <c:minorTickMark val="none"/>
        <c:tickLblPos val="nextTo"/>
        <c:crossAx val="9942914"/>
        <c:crosses val="autoZero"/>
        <c:auto val="1"/>
        <c:lblOffset val="100"/>
        <c:noMultiLvlLbl val="0"/>
      </c:catAx>
      <c:valAx>
        <c:axId val="9942914"/>
        <c:scaling>
          <c:orientation val="minMax"/>
          <c:max val="2.3"/>
          <c:min val="1.5"/>
        </c:scaling>
        <c:axPos val="l"/>
        <c:title>
          <c:tx>
            <c:rich>
              <a:bodyPr vert="horz" rot="-5400000" anchor="ctr"/>
              <a:lstStyle/>
              <a:p>
                <a:pPr algn="ctr">
                  <a:defRPr/>
                </a:pPr>
                <a:r>
                  <a:rPr lang="en-US"/>
                  <a:t>K/Y</a:t>
                </a:r>
              </a:p>
            </c:rich>
          </c:tx>
          <c:layout>
            <c:manualLayout>
              <c:xMode val="factor"/>
              <c:yMode val="factor"/>
              <c:x val="-0.00175"/>
              <c:y val="-0.00125"/>
            </c:manualLayout>
          </c:layout>
          <c:overlay val="0"/>
          <c:spPr>
            <a:noFill/>
            <a:ln>
              <a:noFill/>
            </a:ln>
          </c:spPr>
        </c:title>
        <c:delete val="0"/>
        <c:numFmt formatCode="0.00" sourceLinked="0"/>
        <c:majorTickMark val="in"/>
        <c:minorTickMark val="none"/>
        <c:tickLblPos val="nextTo"/>
        <c:crossAx val="16017849"/>
        <c:crosses val="max"/>
        <c:crossBetween val="midCat"/>
        <c:dispUnits/>
        <c:majorUnit val="0.1"/>
      </c:valAx>
      <c:spPr>
        <a:noFill/>
        <a:ln>
          <a:noFill/>
        </a:ln>
      </c:spPr>
    </c:plotArea>
    <c:legend>
      <c:legendPos val="r"/>
      <c:layout>
        <c:manualLayout>
          <c:xMode val="edge"/>
          <c:yMode val="edge"/>
          <c:x val="0.20575"/>
          <c:y val="0.0565"/>
          <c:w val="0.36025"/>
          <c:h val="0.143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Capital stock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'capital pim method'!$A$14:$A$36</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'capital pim method'!$Z$14:$Z$36</c:f>
              <c:numCache>
                <c:ptCount val="23"/>
                <c:pt idx="0">
                  <c:v>15.369422596726508</c:v>
                </c:pt>
                <c:pt idx="1">
                  <c:v>15.39430588951297</c:v>
                </c:pt>
                <c:pt idx="2">
                  <c:v>15.411476280682711</c:v>
                </c:pt>
                <c:pt idx="3">
                  <c:v>15.42043201104535</c:v>
                </c:pt>
                <c:pt idx="4">
                  <c:v>15.427406807745237</c:v>
                </c:pt>
                <c:pt idx="5">
                  <c:v>15.43341795306933</c:v>
                </c:pt>
                <c:pt idx="6">
                  <c:v>15.46066249699633</c:v>
                </c:pt>
                <c:pt idx="7">
                  <c:v>15.400616126147881</c:v>
                </c:pt>
                <c:pt idx="8">
                  <c:v>15.34298128204109</c:v>
                </c:pt>
                <c:pt idx="9">
                  <c:v>15.269096231190622</c:v>
                </c:pt>
                <c:pt idx="10">
                  <c:v>15.213147041514022</c:v>
                </c:pt>
                <c:pt idx="11">
                  <c:v>15.155522877149188</c:v>
                </c:pt>
                <c:pt idx="12">
                  <c:v>15.090192354605161</c:v>
                </c:pt>
                <c:pt idx="13">
                  <c:v>15.117382350170217</c:v>
                </c:pt>
                <c:pt idx="14">
                  <c:v>15.155585998753104</c:v>
                </c:pt>
                <c:pt idx="15">
                  <c:v>15.207378049253261</c:v>
                </c:pt>
                <c:pt idx="16">
                  <c:v>15.266054739611834</c:v>
                </c:pt>
                <c:pt idx="17">
                  <c:v>15.333662479118573</c:v>
                </c:pt>
                <c:pt idx="18">
                  <c:v>15.404998502897298</c:v>
                </c:pt>
                <c:pt idx="19">
                  <c:v>15.493827158773032</c:v>
                </c:pt>
                <c:pt idx="20">
                  <c:v>15.570389763819733</c:v>
                </c:pt>
                <c:pt idx="21">
                  <c:v>15.641896594048694</c:v>
                </c:pt>
                <c:pt idx="22">
                  <c:v>15.707836185393532</c:v>
                </c:pt>
              </c:numCache>
            </c:numRef>
          </c:val>
          <c:smooth val="0"/>
        </c:ser>
        <c:axId val="22377363"/>
        <c:axId val="69676"/>
      </c:lineChart>
      <c:lineChart>
        <c:grouping val="standard"/>
        <c:varyColors val="0"/>
        <c:ser>
          <c:idx val="1"/>
          <c:order val="1"/>
          <c:tx>
            <c:v>Capital-output ratio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'capital pim method'!$AB$14:$AB$36</c:f>
              <c:numCache>
                <c:ptCount val="23"/>
                <c:pt idx="0">
                  <c:v>1.9014421809055868</c:v>
                </c:pt>
                <c:pt idx="1">
                  <c:v>1.966894051535697</c:v>
                </c:pt>
                <c:pt idx="2">
                  <c:v>1.9989570425572314</c:v>
                </c:pt>
                <c:pt idx="3">
                  <c:v>2.002820988999875</c:v>
                </c:pt>
                <c:pt idx="4">
                  <c:v>1.9744854672410663</c:v>
                </c:pt>
                <c:pt idx="5">
                  <c:v>1.964539839370656</c:v>
                </c:pt>
                <c:pt idx="6">
                  <c:v>1.9562158461081702</c:v>
                </c:pt>
                <c:pt idx="7">
                  <c:v>1.8624735791605733</c:v>
                </c:pt>
                <c:pt idx="8">
                  <c:v>1.788053786877278</c:v>
                </c:pt>
                <c:pt idx="9">
                  <c:v>1.6905985295339432</c:v>
                </c:pt>
                <c:pt idx="10">
                  <c:v>1.6737424218658046</c:v>
                </c:pt>
                <c:pt idx="11">
                  <c:v>1.720644197734076</c:v>
                </c:pt>
                <c:pt idx="12">
                  <c:v>1.6998922263104457</c:v>
                </c:pt>
                <c:pt idx="13">
                  <c:v>1.6987110136481274</c:v>
                </c:pt>
                <c:pt idx="14">
                  <c:v>1.6757434928120962</c:v>
                </c:pt>
                <c:pt idx="15">
                  <c:v>1.6952955087049013</c:v>
                </c:pt>
                <c:pt idx="16">
                  <c:v>1.7338791914392933</c:v>
                </c:pt>
                <c:pt idx="17">
                  <c:v>1.770576033507363</c:v>
                </c:pt>
                <c:pt idx="18">
                  <c:v>1.8364928003837142</c:v>
                </c:pt>
                <c:pt idx="19">
                  <c:v>1.900693051937117</c:v>
                </c:pt>
                <c:pt idx="20">
                  <c:v>1.974428986480185</c:v>
                </c:pt>
                <c:pt idx="21">
                  <c:v>2.0662087686822472</c:v>
                </c:pt>
                <c:pt idx="22">
                  <c:v>2.1357270788428946</c:v>
                </c:pt>
              </c:numCache>
            </c:numRef>
          </c:val>
          <c:smooth val="0"/>
        </c:ser>
        <c:axId val="627085"/>
        <c:axId val="5643766"/>
      </c:lineChart>
      <c:catAx>
        <c:axId val="22377363"/>
        <c:scaling>
          <c:orientation val="minMax"/>
        </c:scaling>
        <c:axPos val="b"/>
        <c:delete val="0"/>
        <c:numFmt formatCode="General" sourceLinked="1"/>
        <c:majorTickMark val="out"/>
        <c:minorTickMark val="none"/>
        <c:tickLblPos val="nextTo"/>
        <c:crossAx val="69676"/>
        <c:crosses val="autoZero"/>
        <c:auto val="1"/>
        <c:lblOffset val="100"/>
        <c:tickLblSkip val="2"/>
        <c:noMultiLvlLbl val="0"/>
      </c:catAx>
      <c:valAx>
        <c:axId val="69676"/>
        <c:scaling>
          <c:orientation val="minMax"/>
          <c:max val="15.8"/>
          <c:min val="14.8"/>
        </c:scaling>
        <c:axPos val="l"/>
        <c:title>
          <c:tx>
            <c:rich>
              <a:bodyPr vert="horz" rot="-5400000" anchor="ctr"/>
              <a:lstStyle/>
              <a:p>
                <a:pPr algn="ctr">
                  <a:defRPr/>
                </a:pPr>
                <a:r>
                  <a:rPr lang="en-US" cap="none" sz="1000" b="1" i="0" u="none" baseline="0">
                    <a:latin typeface="Arial"/>
                    <a:ea typeface="Arial"/>
                    <a:cs typeface="Arial"/>
                  </a:rPr>
                  <a:t>Millions of 1995 SIT, in logs</a:t>
                </a:r>
              </a:p>
            </c:rich>
          </c:tx>
          <c:layout/>
          <c:overlay val="0"/>
          <c:spPr>
            <a:noFill/>
            <a:ln>
              <a:noFill/>
            </a:ln>
          </c:spPr>
        </c:title>
        <c:delete val="0"/>
        <c:numFmt formatCode="0.0" sourceLinked="0"/>
        <c:majorTickMark val="out"/>
        <c:minorTickMark val="none"/>
        <c:tickLblPos val="nextTo"/>
        <c:crossAx val="22377363"/>
        <c:crossesAt val="1"/>
        <c:crossBetween val="midCat"/>
        <c:dispUnits/>
      </c:valAx>
      <c:catAx>
        <c:axId val="627085"/>
        <c:scaling>
          <c:orientation val="minMax"/>
        </c:scaling>
        <c:axPos val="b"/>
        <c:delete val="1"/>
        <c:majorTickMark val="in"/>
        <c:minorTickMark val="none"/>
        <c:tickLblPos val="nextTo"/>
        <c:crossAx val="5643766"/>
        <c:crosses val="autoZero"/>
        <c:auto val="1"/>
        <c:lblOffset val="100"/>
        <c:noMultiLvlLbl val="0"/>
      </c:catAx>
      <c:valAx>
        <c:axId val="5643766"/>
        <c:scaling>
          <c:orientation val="minMax"/>
          <c:max val="2.3"/>
          <c:min val="1.5"/>
        </c:scaling>
        <c:axPos val="l"/>
        <c:title>
          <c:tx>
            <c:rich>
              <a:bodyPr vert="horz" rot="-5400000" anchor="ctr"/>
              <a:lstStyle/>
              <a:p>
                <a:pPr algn="ctr">
                  <a:defRPr/>
                </a:pPr>
                <a:r>
                  <a:rPr lang="en-US" cap="none" sz="1000" b="1" i="0" u="none" baseline="0">
                    <a:latin typeface="Arial"/>
                    <a:ea typeface="Arial"/>
                    <a:cs typeface="Arial"/>
                  </a:rPr>
                  <a:t>K/Y</a:t>
                </a:r>
              </a:p>
            </c:rich>
          </c:tx>
          <c:layout/>
          <c:overlay val="0"/>
          <c:spPr>
            <a:noFill/>
            <a:ln>
              <a:noFill/>
            </a:ln>
          </c:spPr>
        </c:title>
        <c:delete val="0"/>
        <c:numFmt formatCode="0.00" sourceLinked="0"/>
        <c:majorTickMark val="in"/>
        <c:minorTickMark val="none"/>
        <c:tickLblPos val="nextTo"/>
        <c:crossAx val="627085"/>
        <c:crosses val="max"/>
        <c:crossBetween val="midCat"/>
        <c:dispUnits/>
        <c:majorUnit val="0.1"/>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
          <c:w val="0.9725"/>
          <c:h val="1"/>
        </c:manualLayout>
      </c:layout>
      <c:lineChart>
        <c:grouping val="standard"/>
        <c:varyColors val="0"/>
        <c:ser>
          <c:idx val="0"/>
          <c:order val="0"/>
          <c:tx>
            <c:v>User cost of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'capital mpk method'!$A$6:$A$15</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'capital mpk method'!$J$6:$J$15</c:f>
              <c:numCache>
                <c:ptCount val="10"/>
                <c:pt idx="0">
                  <c:v>31.541378944639536</c:v>
                </c:pt>
                <c:pt idx="1">
                  <c:v>28.56138790035588</c:v>
                </c:pt>
                <c:pt idx="2">
                  <c:v>19.899999999999988</c:v>
                </c:pt>
                <c:pt idx="3">
                  <c:v>22.13128944995492</c:v>
                </c:pt>
                <c:pt idx="4">
                  <c:v>21.976389865008215</c:v>
                </c:pt>
                <c:pt idx="5">
                  <c:v>18.002875096009152</c:v>
                </c:pt>
                <c:pt idx="6">
                  <c:v>17.48098752515653</c:v>
                </c:pt>
                <c:pt idx="7">
                  <c:v>18.81349641492165</c:v>
                </c:pt>
                <c:pt idx="8">
                  <c:v>16.87855939713396</c:v>
                </c:pt>
                <c:pt idx="9">
                  <c:v>16.20985777343156</c:v>
                </c:pt>
              </c:numCache>
            </c:numRef>
          </c:val>
          <c:smooth val="0"/>
        </c:ser>
        <c:ser>
          <c:idx val="1"/>
          <c:order val="1"/>
          <c:tx>
            <c:v>Real interest rate + depreciation rate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'capital mpk method'!$L$6:$L$15</c:f>
              <c:numCache>
                <c:ptCount val="10"/>
                <c:pt idx="0">
                  <c:v>28.67182784781923</c:v>
                </c:pt>
                <c:pt idx="1">
                  <c:v>24.82704511357261</c:v>
                </c:pt>
                <c:pt idx="2">
                  <c:v>22.7</c:v>
                </c:pt>
                <c:pt idx="3">
                  <c:v>20.22761652190391</c:v>
                </c:pt>
                <c:pt idx="4">
                  <c:v>18.953083391850058</c:v>
                </c:pt>
                <c:pt idx="5">
                  <c:v>15.55182977348224</c:v>
                </c:pt>
                <c:pt idx="6">
                  <c:v>14.899999999999999</c:v>
                </c:pt>
                <c:pt idx="7">
                  <c:v>15.4</c:v>
                </c:pt>
                <c:pt idx="8">
                  <c:v>15.299999999999999</c:v>
                </c:pt>
                <c:pt idx="9">
                  <c:v>14.899999999999999</c:v>
                </c:pt>
              </c:numCache>
            </c:numRef>
          </c:val>
          <c:smooth val="0"/>
        </c:ser>
        <c:axId val="50793895"/>
        <c:axId val="54491872"/>
      </c:lineChart>
      <c:catAx>
        <c:axId val="50793895"/>
        <c:scaling>
          <c:orientation val="minMax"/>
        </c:scaling>
        <c:axPos val="b"/>
        <c:delete val="0"/>
        <c:numFmt formatCode="General" sourceLinked="1"/>
        <c:majorTickMark val="out"/>
        <c:minorTickMark val="none"/>
        <c:tickLblPos val="nextTo"/>
        <c:crossAx val="54491872"/>
        <c:crosses val="autoZero"/>
        <c:auto val="1"/>
        <c:lblOffset val="100"/>
        <c:noMultiLvlLbl val="0"/>
      </c:catAx>
      <c:valAx>
        <c:axId val="54491872"/>
        <c:scaling>
          <c:orientation val="minMax"/>
          <c:max val="32"/>
          <c:min val="0"/>
        </c:scaling>
        <c:axPos val="l"/>
        <c:title>
          <c:tx>
            <c:rich>
              <a:bodyPr vert="horz" rot="-5400000" anchor="ctr"/>
              <a:lstStyle/>
              <a:p>
                <a:pPr algn="ctr">
                  <a:defRPr/>
                </a:pPr>
                <a:r>
                  <a:rPr lang="en-US" cap="none" sz="700" b="0" i="0" u="none" baseline="0">
                    <a:latin typeface="Arial"/>
                    <a:ea typeface="Arial"/>
                    <a:cs typeface="Arial"/>
                  </a:rPr>
                  <a:t>In %</a:t>
                </a:r>
              </a:p>
            </c:rich>
          </c:tx>
          <c:layout>
            <c:manualLayout>
              <c:xMode val="factor"/>
              <c:yMode val="factor"/>
              <c:x val="-0.005"/>
              <c:y val="0.00125"/>
            </c:manualLayout>
          </c:layout>
          <c:overlay val="0"/>
          <c:spPr>
            <a:noFill/>
            <a:ln>
              <a:noFill/>
            </a:ln>
          </c:spPr>
        </c:title>
        <c:delete val="0"/>
        <c:numFmt formatCode="0" sourceLinked="0"/>
        <c:majorTickMark val="out"/>
        <c:minorTickMark val="none"/>
        <c:tickLblPos val="nextTo"/>
        <c:crossAx val="50793895"/>
        <c:crossesAt val="1"/>
        <c:crossBetween val="midCat"/>
        <c:dispUnits/>
        <c:majorUnit val="4"/>
      </c:valAx>
      <c:spPr>
        <a:noFill/>
        <a:ln>
          <a:noFill/>
        </a:ln>
      </c:spPr>
    </c:plotArea>
    <c:legend>
      <c:legendPos val="r"/>
      <c:layout>
        <c:manualLayout>
          <c:xMode val="edge"/>
          <c:yMode val="edge"/>
          <c:x val="0.50575"/>
          <c:y val="0.0575"/>
          <c:w val="0.35375"/>
          <c:h val="0.147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User cost of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'capital mpk method'!$A$6:$A$15</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'capital mpk method'!$J$6:$J$15</c:f>
              <c:numCache>
                <c:ptCount val="10"/>
                <c:pt idx="0">
                  <c:v>31.541378944639536</c:v>
                </c:pt>
                <c:pt idx="1">
                  <c:v>28.56138790035588</c:v>
                </c:pt>
                <c:pt idx="2">
                  <c:v>19.899999999999988</c:v>
                </c:pt>
                <c:pt idx="3">
                  <c:v>22.13128944995492</c:v>
                </c:pt>
                <c:pt idx="4">
                  <c:v>21.976389865008215</c:v>
                </c:pt>
                <c:pt idx="5">
                  <c:v>18.002875096009152</c:v>
                </c:pt>
                <c:pt idx="6">
                  <c:v>17.48098752515653</c:v>
                </c:pt>
                <c:pt idx="7">
                  <c:v>18.81349641492165</c:v>
                </c:pt>
                <c:pt idx="8">
                  <c:v>16.87855939713396</c:v>
                </c:pt>
                <c:pt idx="9">
                  <c:v>16.20985777343156</c:v>
                </c:pt>
              </c:numCache>
            </c:numRef>
          </c:val>
          <c:smooth val="0"/>
        </c:ser>
        <c:ser>
          <c:idx val="1"/>
          <c:order val="1"/>
          <c:tx>
            <c:v>Real interest rate + depreciation rate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'capital mpk method'!$L$6:$L$15</c:f>
              <c:numCache>
                <c:ptCount val="10"/>
                <c:pt idx="0">
                  <c:v>28.67182784781923</c:v>
                </c:pt>
                <c:pt idx="1">
                  <c:v>24.82704511357261</c:v>
                </c:pt>
                <c:pt idx="2">
                  <c:v>22.7</c:v>
                </c:pt>
                <c:pt idx="3">
                  <c:v>20.22761652190391</c:v>
                </c:pt>
                <c:pt idx="4">
                  <c:v>18.953083391850058</c:v>
                </c:pt>
                <c:pt idx="5">
                  <c:v>15.55182977348224</c:v>
                </c:pt>
                <c:pt idx="6">
                  <c:v>14.899999999999999</c:v>
                </c:pt>
                <c:pt idx="7">
                  <c:v>15.4</c:v>
                </c:pt>
                <c:pt idx="8">
                  <c:v>15.299999999999999</c:v>
                </c:pt>
                <c:pt idx="9">
                  <c:v>14.899999999999999</c:v>
                </c:pt>
              </c:numCache>
            </c:numRef>
          </c:val>
          <c:smooth val="0"/>
        </c:ser>
        <c:axId val="20664801"/>
        <c:axId val="51765482"/>
      </c:lineChart>
      <c:catAx>
        <c:axId val="20664801"/>
        <c:scaling>
          <c:orientation val="minMax"/>
        </c:scaling>
        <c:axPos val="b"/>
        <c:delete val="0"/>
        <c:numFmt formatCode="General" sourceLinked="1"/>
        <c:majorTickMark val="out"/>
        <c:minorTickMark val="none"/>
        <c:tickLblPos val="nextTo"/>
        <c:crossAx val="51765482"/>
        <c:crosses val="autoZero"/>
        <c:auto val="1"/>
        <c:lblOffset val="100"/>
        <c:noMultiLvlLbl val="0"/>
      </c:catAx>
      <c:valAx>
        <c:axId val="51765482"/>
        <c:scaling>
          <c:orientation val="minMax"/>
          <c:max val="32"/>
          <c:min val="0"/>
        </c:scaling>
        <c:axPos val="l"/>
        <c:title>
          <c:tx>
            <c:rich>
              <a:bodyPr vert="horz" rot="-5400000" anchor="ctr"/>
              <a:lstStyle/>
              <a:p>
                <a:pPr algn="ctr">
                  <a:defRPr/>
                </a:pPr>
                <a:r>
                  <a:rPr lang="en-US" cap="none" sz="1000" b="1" i="0" u="none" baseline="0">
                    <a:latin typeface="Arial"/>
                    <a:ea typeface="Arial"/>
                    <a:cs typeface="Arial"/>
                  </a:rPr>
                  <a:t>
%</a:t>
                </a:r>
              </a:p>
            </c:rich>
          </c:tx>
          <c:layout/>
          <c:overlay val="0"/>
          <c:spPr>
            <a:noFill/>
            <a:ln>
              <a:noFill/>
            </a:ln>
          </c:spPr>
        </c:title>
        <c:delete val="0"/>
        <c:numFmt formatCode="0" sourceLinked="0"/>
        <c:majorTickMark val="out"/>
        <c:minorTickMark val="none"/>
        <c:tickLblPos val="nextTo"/>
        <c:crossAx val="20664801"/>
        <c:crossesAt val="1"/>
        <c:crossBetween val="midCat"/>
        <c:dispUnits/>
        <c:majorUnit val="4"/>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
          <c:w val="0.96575"/>
          <c:h val="1"/>
        </c:manualLayout>
      </c:layout>
      <c:lineChart>
        <c:grouping val="standard"/>
        <c:varyColors val="0"/>
        <c:ser>
          <c:idx val="0"/>
          <c:order val="0"/>
          <c:tx>
            <c:v>Capital-output ratio (varying output elasticity of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'capital mpk method'!$A$6:$A$15</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'capital mpk method'!$O$6:$O$15</c:f>
              <c:numCache>
                <c:ptCount val="10"/>
                <c:pt idx="0">
                  <c:v>0.666559941101984</c:v>
                </c:pt>
                <c:pt idx="1">
                  <c:v>0.818541817232956</c:v>
                </c:pt>
                <c:pt idx="2">
                  <c:v>1.1869557356706508</c:v>
                </c:pt>
                <c:pt idx="3">
                  <c:v>1.1837833838312368</c:v>
                </c:pt>
                <c:pt idx="4">
                  <c:v>1.2848282772315238</c:v>
                </c:pt>
                <c:pt idx="5">
                  <c:v>1.629763398299176</c:v>
                </c:pt>
                <c:pt idx="6">
                  <c:v>1.7061024941505682</c:v>
                </c:pt>
                <c:pt idx="7">
                  <c:v>1.6034045844132574</c:v>
                </c:pt>
                <c:pt idx="8">
                  <c:v>1.7369721598149552</c:v>
                </c:pt>
                <c:pt idx="9">
                  <c:v>1.8451994644365892</c:v>
                </c:pt>
              </c:numCache>
            </c:numRef>
          </c:val>
          <c:smooth val="0"/>
        </c:ser>
        <c:ser>
          <c:idx val="1"/>
          <c:order val="1"/>
          <c:tx>
            <c:v>Capital-output ratio (constant output elasticity of capital)</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'capital mpk method'!$Q$6:$Q$15</c:f>
              <c:numCache>
                <c:ptCount val="10"/>
                <c:pt idx="0">
                  <c:v>0.9511315295585231</c:v>
                </c:pt>
                <c:pt idx="1">
                  <c:v>1.0503691243808988</c:v>
                </c:pt>
                <c:pt idx="2">
                  <c:v>1.5075376884422118</c:v>
                </c:pt>
                <c:pt idx="3">
                  <c:v>1.3555468635408006</c:v>
                </c:pt>
                <c:pt idx="4">
                  <c:v>1.3651013739871503</c:v>
                </c:pt>
                <c:pt idx="5">
                  <c:v>1.6664004965879227</c:v>
                </c:pt>
                <c:pt idx="6">
                  <c:v>1.716150186414104</c:v>
                </c:pt>
                <c:pt idx="7">
                  <c:v>1.594599926476502</c:v>
                </c:pt>
                <c:pt idx="8">
                  <c:v>1.7774028750992876</c:v>
                </c:pt>
                <c:pt idx="9">
                  <c:v>1.850725676888473</c:v>
                </c:pt>
              </c:numCache>
            </c:numRef>
          </c:val>
          <c:smooth val="0"/>
        </c:ser>
        <c:axId val="63236155"/>
        <c:axId val="32254484"/>
      </c:lineChart>
      <c:catAx>
        <c:axId val="63236155"/>
        <c:scaling>
          <c:orientation val="minMax"/>
        </c:scaling>
        <c:axPos val="b"/>
        <c:delete val="0"/>
        <c:numFmt formatCode="General" sourceLinked="1"/>
        <c:majorTickMark val="out"/>
        <c:minorTickMark val="none"/>
        <c:tickLblPos val="nextTo"/>
        <c:crossAx val="32254484"/>
        <c:crosses val="autoZero"/>
        <c:auto val="1"/>
        <c:lblOffset val="100"/>
        <c:noMultiLvlLbl val="0"/>
      </c:catAx>
      <c:valAx>
        <c:axId val="32254484"/>
        <c:scaling>
          <c:orientation val="minMax"/>
          <c:max val="2"/>
        </c:scaling>
        <c:axPos val="l"/>
        <c:title>
          <c:tx>
            <c:rich>
              <a:bodyPr vert="horz" rot="-5400000" anchor="ctr"/>
              <a:lstStyle/>
              <a:p>
                <a:pPr algn="ctr">
                  <a:defRPr/>
                </a:pPr>
                <a:r>
                  <a:rPr lang="en-US"/>
                  <a:t>K/Y</a:t>
                </a:r>
              </a:p>
            </c:rich>
          </c:tx>
          <c:layout>
            <c:manualLayout>
              <c:xMode val="factor"/>
              <c:yMode val="factor"/>
              <c:x val="-0.00525"/>
              <c:y val="0"/>
            </c:manualLayout>
          </c:layout>
          <c:overlay val="0"/>
          <c:spPr>
            <a:noFill/>
            <a:ln>
              <a:noFill/>
            </a:ln>
          </c:spPr>
        </c:title>
        <c:delete val="0"/>
        <c:numFmt formatCode="0.00" sourceLinked="0"/>
        <c:majorTickMark val="out"/>
        <c:minorTickMark val="none"/>
        <c:tickLblPos val="nextTo"/>
        <c:crossAx val="63236155"/>
        <c:crossesAt val="1"/>
        <c:crossBetween val="midCat"/>
        <c:dispUnits/>
        <c:majorUnit val="0.2"/>
      </c:valAx>
      <c:spPr>
        <a:noFill/>
        <a:ln>
          <a:noFill/>
        </a:ln>
      </c:spPr>
    </c:plotArea>
    <c:legend>
      <c:legendPos val="r"/>
      <c:layout>
        <c:manualLayout>
          <c:xMode val="edge"/>
          <c:yMode val="edge"/>
          <c:x val="0.25475"/>
          <c:y val="0.66675"/>
          <c:w val="0.71275"/>
          <c:h val="0.1307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Capital-output ratio (varying output elasticity of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'capital mpk method'!$A$6:$A$15</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'capital mpk method'!$O$6:$O$15</c:f>
              <c:numCache>
                <c:ptCount val="10"/>
                <c:pt idx="0">
                  <c:v>0.666559941101984</c:v>
                </c:pt>
                <c:pt idx="1">
                  <c:v>0.818541817232956</c:v>
                </c:pt>
                <c:pt idx="2">
                  <c:v>1.1869557356706508</c:v>
                </c:pt>
                <c:pt idx="3">
                  <c:v>1.1837833838312368</c:v>
                </c:pt>
                <c:pt idx="4">
                  <c:v>1.2848282772315238</c:v>
                </c:pt>
                <c:pt idx="5">
                  <c:v>1.629763398299176</c:v>
                </c:pt>
                <c:pt idx="6">
                  <c:v>1.7061024941505682</c:v>
                </c:pt>
                <c:pt idx="7">
                  <c:v>1.6034045844132574</c:v>
                </c:pt>
                <c:pt idx="8">
                  <c:v>1.7369721598149552</c:v>
                </c:pt>
                <c:pt idx="9">
                  <c:v>1.8451994644365892</c:v>
                </c:pt>
              </c:numCache>
            </c:numRef>
          </c:val>
          <c:smooth val="0"/>
        </c:ser>
        <c:ser>
          <c:idx val="1"/>
          <c:order val="1"/>
          <c:tx>
            <c:v>Capital-output ratio (constant output elasticity of capital)</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'capital mpk method'!$Q$6:$Q$15</c:f>
              <c:numCache>
                <c:ptCount val="10"/>
                <c:pt idx="0">
                  <c:v>0.9511315295585231</c:v>
                </c:pt>
                <c:pt idx="1">
                  <c:v>1.0503691243808988</c:v>
                </c:pt>
                <c:pt idx="2">
                  <c:v>1.5075376884422118</c:v>
                </c:pt>
                <c:pt idx="3">
                  <c:v>1.3555468635408006</c:v>
                </c:pt>
                <c:pt idx="4">
                  <c:v>1.3651013739871503</c:v>
                </c:pt>
                <c:pt idx="5">
                  <c:v>1.6664004965879227</c:v>
                </c:pt>
                <c:pt idx="6">
                  <c:v>1.716150186414104</c:v>
                </c:pt>
                <c:pt idx="7">
                  <c:v>1.594599926476502</c:v>
                </c:pt>
                <c:pt idx="8">
                  <c:v>1.7774028750992876</c:v>
                </c:pt>
                <c:pt idx="9">
                  <c:v>1.850725676888473</c:v>
                </c:pt>
              </c:numCache>
            </c:numRef>
          </c:val>
          <c:smooth val="0"/>
        </c:ser>
        <c:axId val="21854901"/>
        <c:axId val="62476382"/>
      </c:lineChart>
      <c:catAx>
        <c:axId val="21854901"/>
        <c:scaling>
          <c:orientation val="minMax"/>
        </c:scaling>
        <c:axPos val="b"/>
        <c:delete val="0"/>
        <c:numFmt formatCode="General" sourceLinked="1"/>
        <c:majorTickMark val="out"/>
        <c:minorTickMark val="none"/>
        <c:tickLblPos val="nextTo"/>
        <c:crossAx val="62476382"/>
        <c:crosses val="autoZero"/>
        <c:auto val="1"/>
        <c:lblOffset val="100"/>
        <c:noMultiLvlLbl val="0"/>
      </c:catAx>
      <c:valAx>
        <c:axId val="62476382"/>
        <c:scaling>
          <c:orientation val="minMax"/>
          <c:max val="2"/>
        </c:scaling>
        <c:axPos val="l"/>
        <c:title>
          <c:tx>
            <c:rich>
              <a:bodyPr vert="horz" rot="-5400000" anchor="ctr"/>
              <a:lstStyle/>
              <a:p>
                <a:pPr algn="ctr">
                  <a:defRPr/>
                </a:pPr>
                <a:r>
                  <a:rPr lang="en-US" cap="none" sz="1000" b="1" i="0" u="none" baseline="0">
                    <a:latin typeface="Arial"/>
                    <a:ea typeface="Arial"/>
                    <a:cs typeface="Arial"/>
                  </a:rPr>
                  <a:t>K/Y</a:t>
                </a:r>
              </a:p>
            </c:rich>
          </c:tx>
          <c:layout/>
          <c:overlay val="0"/>
          <c:spPr>
            <a:noFill/>
            <a:ln>
              <a:noFill/>
            </a:ln>
          </c:spPr>
        </c:title>
        <c:delete val="0"/>
        <c:numFmt formatCode="0.00" sourceLinked="0"/>
        <c:majorTickMark val="out"/>
        <c:minorTickMark val="none"/>
        <c:tickLblPos val="nextTo"/>
        <c:crossAx val="21854901"/>
        <c:crossesAt val="1"/>
        <c:crossBetween val="midCat"/>
        <c:dispUnits/>
        <c:majorUnit val="0.2"/>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
          <c:w val="0.96325"/>
          <c:h val="1"/>
        </c:manualLayout>
      </c:layout>
      <c:lineChart>
        <c:grouping val="standard"/>
        <c:varyColors val="0"/>
        <c:ser>
          <c:idx val="0"/>
          <c:order val="0"/>
          <c:tx>
            <c:v>Labor income share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'Labor and capital income share'!$A$5:$A$20</c:f>
              <c:numCache>
                <c:ptCount val="1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numCache>
            </c:numRef>
          </c:cat>
          <c:val>
            <c:numRef>
              <c:f>'Labor and capital income share'!$P$5:$P$20</c:f>
              <c:numCache>
                <c:ptCount val="16"/>
                <c:pt idx="0">
                  <c:v>0.6436503445881826</c:v>
                </c:pt>
                <c:pt idx="1">
                  <c:v>0.63582263126332</c:v>
                </c:pt>
                <c:pt idx="2">
                  <c:v>0.8418122790398938</c:v>
                </c:pt>
                <c:pt idx="3">
                  <c:v>0.7394707940321149</c:v>
                </c:pt>
                <c:pt idx="4">
                  <c:v>0.7983067104890107</c:v>
                </c:pt>
                <c:pt idx="5">
                  <c:v>0.8142726450366725</c:v>
                </c:pt>
                <c:pt idx="6">
                  <c:v>0.7897578030838571</c:v>
                </c:pt>
                <c:pt idx="7">
                  <c:v>0.7662130964534734</c:v>
                </c:pt>
                <c:pt idx="8">
                  <c:v>0.7637958086015406</c:v>
                </c:pt>
                <c:pt idx="9">
                  <c:v>0.7380134728638381</c:v>
                </c:pt>
                <c:pt idx="10">
                  <c:v>0.7176411286997317</c:v>
                </c:pt>
                <c:pt idx="11">
                  <c:v>0.7065957310437252</c:v>
                </c:pt>
                <c:pt idx="12">
                  <c:v>0.7017564358311548</c:v>
                </c:pt>
                <c:pt idx="13">
                  <c:v>0.6983435359947224</c:v>
                </c:pt>
                <c:pt idx="14">
                  <c:v>0.7068241222939522</c:v>
                </c:pt>
                <c:pt idx="15">
                  <c:v>0.700895791178708</c:v>
                </c:pt>
              </c:numCache>
            </c:numRef>
          </c:val>
          <c:smooth val="0"/>
        </c:ser>
        <c:ser>
          <c:idx val="1"/>
          <c:order val="1"/>
          <c:tx>
            <c:v>Capital income share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'Labor and capital income share'!$A$5:$A$20</c:f>
              <c:numCache>
                <c:ptCount val="1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numCache>
            </c:numRef>
          </c:cat>
          <c:val>
            <c:numRef>
              <c:f>'Labor and capital income share'!$Q$5:$Q$20</c:f>
              <c:numCache>
                <c:ptCount val="16"/>
                <c:pt idx="0">
                  <c:v>0.3563496554118174</c:v>
                </c:pt>
                <c:pt idx="1">
                  <c:v>0.36417736873668005</c:v>
                </c:pt>
                <c:pt idx="2">
                  <c:v>0.15818772096010625</c:v>
                </c:pt>
                <c:pt idx="3">
                  <c:v>0.2605292059678851</c:v>
                </c:pt>
                <c:pt idx="4">
                  <c:v>0.2016932895109893</c:v>
                </c:pt>
                <c:pt idx="5">
                  <c:v>0.18572735496332748</c:v>
                </c:pt>
                <c:pt idx="6">
                  <c:v>0.21024219691614288</c:v>
                </c:pt>
                <c:pt idx="7">
                  <c:v>0.23378690354652665</c:v>
                </c:pt>
                <c:pt idx="8">
                  <c:v>0.23620419139845938</c:v>
                </c:pt>
                <c:pt idx="9">
                  <c:v>0.2619865271361619</c:v>
                </c:pt>
                <c:pt idx="10">
                  <c:v>0.28235887130026827</c:v>
                </c:pt>
                <c:pt idx="11">
                  <c:v>0.2934042689562748</c:v>
                </c:pt>
                <c:pt idx="12">
                  <c:v>0.29824356416884523</c:v>
                </c:pt>
                <c:pt idx="13">
                  <c:v>0.30165646400527757</c:v>
                </c:pt>
                <c:pt idx="14">
                  <c:v>0.2931758777060478</c:v>
                </c:pt>
                <c:pt idx="15">
                  <c:v>0.29910420882129196</c:v>
                </c:pt>
              </c:numCache>
            </c:numRef>
          </c:val>
          <c:smooth val="0"/>
        </c:ser>
        <c:axId val="25416527"/>
        <c:axId val="27422152"/>
      </c:lineChart>
      <c:catAx>
        <c:axId val="25416527"/>
        <c:scaling>
          <c:orientation val="minMax"/>
        </c:scaling>
        <c:axPos val="b"/>
        <c:delete val="0"/>
        <c:numFmt formatCode="General" sourceLinked="1"/>
        <c:majorTickMark val="out"/>
        <c:minorTickMark val="none"/>
        <c:tickLblPos val="nextTo"/>
        <c:crossAx val="27422152"/>
        <c:crosses val="autoZero"/>
        <c:auto val="1"/>
        <c:lblOffset val="100"/>
        <c:noMultiLvlLbl val="0"/>
      </c:catAx>
      <c:valAx>
        <c:axId val="27422152"/>
        <c:scaling>
          <c:orientation val="minMax"/>
          <c:max val="1"/>
        </c:scaling>
        <c:axPos val="l"/>
        <c:title>
          <c:tx>
            <c:rich>
              <a:bodyPr vert="horz" rot="-5400000" anchor="ctr"/>
              <a:lstStyle/>
              <a:p>
                <a:pPr algn="ctr">
                  <a:defRPr/>
                </a:pPr>
                <a:r>
                  <a:rPr lang="en-US"/>
                  <a:t>Shares</a:t>
                </a:r>
              </a:p>
            </c:rich>
          </c:tx>
          <c:layout>
            <c:manualLayout>
              <c:xMode val="factor"/>
              <c:yMode val="factor"/>
              <c:x val="-0.00575"/>
              <c:y val="0"/>
            </c:manualLayout>
          </c:layout>
          <c:overlay val="0"/>
          <c:spPr>
            <a:noFill/>
            <a:ln>
              <a:noFill/>
            </a:ln>
          </c:spPr>
        </c:title>
        <c:delete val="0"/>
        <c:numFmt formatCode="0.00" sourceLinked="0"/>
        <c:majorTickMark val="out"/>
        <c:minorTickMark val="none"/>
        <c:tickLblPos val="nextTo"/>
        <c:crossAx val="25416527"/>
        <c:crossesAt val="1"/>
        <c:crossBetween val="midCat"/>
        <c:dispUnits/>
      </c:valAx>
      <c:spPr>
        <a:noFill/>
        <a:ln>
          <a:noFill/>
        </a:ln>
      </c:spPr>
    </c:plotArea>
    <c:legend>
      <c:legendPos val="r"/>
      <c:layout>
        <c:manualLayout>
          <c:xMode val="edge"/>
          <c:yMode val="edge"/>
          <c:x val="0.47525"/>
          <c:y val="0.033"/>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Labor income share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'Labor and capital income share'!$A$5:$A$20</c:f>
              <c:numCache>
                <c:ptCount val="1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numCache>
            </c:numRef>
          </c:cat>
          <c:val>
            <c:numRef>
              <c:f>'Labor and capital income share'!$P$5:$P$20</c:f>
              <c:numCache>
                <c:ptCount val="16"/>
                <c:pt idx="0">
                  <c:v>0.6436503445881826</c:v>
                </c:pt>
                <c:pt idx="1">
                  <c:v>0.63582263126332</c:v>
                </c:pt>
                <c:pt idx="2">
                  <c:v>0.8418122790398938</c:v>
                </c:pt>
                <c:pt idx="3">
                  <c:v>0.7394707940321149</c:v>
                </c:pt>
                <c:pt idx="4">
                  <c:v>0.7983067104890107</c:v>
                </c:pt>
                <c:pt idx="5">
                  <c:v>0.8142726450366725</c:v>
                </c:pt>
                <c:pt idx="6">
                  <c:v>0.7897578030838571</c:v>
                </c:pt>
                <c:pt idx="7">
                  <c:v>0.7662130964534734</c:v>
                </c:pt>
                <c:pt idx="8">
                  <c:v>0.7637958086015406</c:v>
                </c:pt>
                <c:pt idx="9">
                  <c:v>0.7380134728638381</c:v>
                </c:pt>
                <c:pt idx="10">
                  <c:v>0.7176411286997317</c:v>
                </c:pt>
                <c:pt idx="11">
                  <c:v>0.7065957310437252</c:v>
                </c:pt>
                <c:pt idx="12">
                  <c:v>0.7017564358311548</c:v>
                </c:pt>
                <c:pt idx="13">
                  <c:v>0.6983435359947224</c:v>
                </c:pt>
                <c:pt idx="14">
                  <c:v>0.7068241222939522</c:v>
                </c:pt>
                <c:pt idx="15">
                  <c:v>0.700895791178708</c:v>
                </c:pt>
              </c:numCache>
            </c:numRef>
          </c:val>
          <c:smooth val="0"/>
        </c:ser>
        <c:ser>
          <c:idx val="1"/>
          <c:order val="1"/>
          <c:tx>
            <c:v>Capital income share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'Labor and capital income share'!$A$5:$A$20</c:f>
              <c:numCache>
                <c:ptCount val="1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numCache>
            </c:numRef>
          </c:cat>
          <c:val>
            <c:numRef>
              <c:f>'Labor and capital income share'!$Q$5:$Q$20</c:f>
              <c:numCache>
                <c:ptCount val="16"/>
                <c:pt idx="0">
                  <c:v>0.3563496554118174</c:v>
                </c:pt>
                <c:pt idx="1">
                  <c:v>0.36417736873668005</c:v>
                </c:pt>
                <c:pt idx="2">
                  <c:v>0.15818772096010625</c:v>
                </c:pt>
                <c:pt idx="3">
                  <c:v>0.2605292059678851</c:v>
                </c:pt>
                <c:pt idx="4">
                  <c:v>0.2016932895109893</c:v>
                </c:pt>
                <c:pt idx="5">
                  <c:v>0.18572735496332748</c:v>
                </c:pt>
                <c:pt idx="6">
                  <c:v>0.21024219691614288</c:v>
                </c:pt>
                <c:pt idx="7">
                  <c:v>0.23378690354652665</c:v>
                </c:pt>
                <c:pt idx="8">
                  <c:v>0.23620419139845938</c:v>
                </c:pt>
                <c:pt idx="9">
                  <c:v>0.2619865271361619</c:v>
                </c:pt>
                <c:pt idx="10">
                  <c:v>0.28235887130026827</c:v>
                </c:pt>
                <c:pt idx="11">
                  <c:v>0.2934042689562748</c:v>
                </c:pt>
                <c:pt idx="12">
                  <c:v>0.29824356416884523</c:v>
                </c:pt>
                <c:pt idx="13">
                  <c:v>0.30165646400527757</c:v>
                </c:pt>
                <c:pt idx="14">
                  <c:v>0.2931758777060478</c:v>
                </c:pt>
                <c:pt idx="15">
                  <c:v>0.29910420882129196</c:v>
                </c:pt>
              </c:numCache>
            </c:numRef>
          </c:val>
          <c:smooth val="0"/>
        </c:ser>
        <c:axId val="45472777"/>
        <c:axId val="6601810"/>
      </c:lineChart>
      <c:catAx>
        <c:axId val="45472777"/>
        <c:scaling>
          <c:orientation val="minMax"/>
        </c:scaling>
        <c:axPos val="b"/>
        <c:delete val="0"/>
        <c:numFmt formatCode="General" sourceLinked="1"/>
        <c:majorTickMark val="out"/>
        <c:minorTickMark val="none"/>
        <c:tickLblPos val="nextTo"/>
        <c:crossAx val="6601810"/>
        <c:crosses val="autoZero"/>
        <c:auto val="1"/>
        <c:lblOffset val="100"/>
        <c:noMultiLvlLbl val="0"/>
      </c:catAx>
      <c:valAx>
        <c:axId val="6601810"/>
        <c:scaling>
          <c:orientation val="minMax"/>
        </c:scaling>
        <c:axPos val="l"/>
        <c:title>
          <c:tx>
            <c:rich>
              <a:bodyPr vert="horz" rot="-5400000" anchor="ctr"/>
              <a:lstStyle/>
              <a:p>
                <a:pPr algn="ctr">
                  <a:defRPr/>
                </a:pPr>
                <a:r>
                  <a:rPr lang="en-US" cap="none" sz="1000" b="1" i="0" u="none" baseline="0">
                    <a:latin typeface="Arial"/>
                    <a:ea typeface="Arial"/>
                    <a:cs typeface="Arial"/>
                  </a:rPr>
                  <a:t>Shares</a:t>
                </a:r>
              </a:p>
            </c:rich>
          </c:tx>
          <c:layout/>
          <c:overlay val="0"/>
          <c:spPr>
            <a:noFill/>
            <a:ln>
              <a:noFill/>
            </a:ln>
          </c:spPr>
        </c:title>
        <c:delete val="0"/>
        <c:numFmt formatCode="0.00" sourceLinked="0"/>
        <c:majorTickMark val="out"/>
        <c:minorTickMark val="none"/>
        <c:tickLblPos val="nextTo"/>
        <c:crossAx val="45472777"/>
        <c:crossesAt val="1"/>
        <c:crossBetween val="midCat"/>
        <c:dispUnits/>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v>capital</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xVal>
            <c:numRef>
              <c:f>'labor costs'!$AK$17:$AK$26</c:f>
              <c:numCache>
                <c:ptCount val="10"/>
                <c:pt idx="0">
                  <c:v>0</c:v>
                </c:pt>
                <c:pt idx="1">
                  <c:v>0</c:v>
                </c:pt>
                <c:pt idx="2">
                  <c:v>0</c:v>
                </c:pt>
                <c:pt idx="3">
                  <c:v>0</c:v>
                </c:pt>
                <c:pt idx="4">
                  <c:v>0</c:v>
                </c:pt>
                <c:pt idx="5">
                  <c:v>0</c:v>
                </c:pt>
                <c:pt idx="6">
                  <c:v>0</c:v>
                </c:pt>
                <c:pt idx="7">
                  <c:v>0</c:v>
                </c:pt>
                <c:pt idx="8">
                  <c:v>0</c:v>
                </c:pt>
                <c:pt idx="9">
                  <c:v>0</c:v>
                </c:pt>
              </c:numCache>
            </c:numRef>
          </c:xVal>
          <c:yVal>
            <c:numRef>
              <c:f>'labor costs'!$AL$17:$AL$26</c:f>
              <c:numCache>
                <c:ptCount val="10"/>
                <c:pt idx="0">
                  <c:v>0</c:v>
                </c:pt>
                <c:pt idx="1">
                  <c:v>0</c:v>
                </c:pt>
                <c:pt idx="2">
                  <c:v>0</c:v>
                </c:pt>
                <c:pt idx="3">
                  <c:v>0</c:v>
                </c:pt>
                <c:pt idx="4">
                  <c:v>0</c:v>
                </c:pt>
                <c:pt idx="5">
                  <c:v>0</c:v>
                </c:pt>
                <c:pt idx="6">
                  <c:v>0</c:v>
                </c:pt>
                <c:pt idx="7">
                  <c:v>0</c:v>
                </c:pt>
                <c:pt idx="8">
                  <c:v>0</c:v>
                </c:pt>
                <c:pt idx="9">
                  <c:v>0</c:v>
                </c:pt>
              </c:numCache>
            </c:numRef>
          </c:yVal>
          <c:smooth val="0"/>
        </c:ser>
        <c:axId val="59416291"/>
        <c:axId val="64984572"/>
      </c:scatterChart>
      <c:valAx>
        <c:axId val="59416291"/>
        <c:scaling>
          <c:orientation val="minMax"/>
        </c:scaling>
        <c:axPos val="b"/>
        <c:delete val="0"/>
        <c:numFmt formatCode="General" sourceLinked="1"/>
        <c:majorTickMark val="out"/>
        <c:minorTickMark val="none"/>
        <c:tickLblPos val="nextTo"/>
        <c:crossAx val="64984572"/>
        <c:crosses val="autoZero"/>
        <c:crossBetween val="midCat"/>
        <c:dispUnits/>
      </c:valAx>
      <c:valAx>
        <c:axId val="64984572"/>
        <c:scaling>
          <c:orientation val="minMax"/>
        </c:scaling>
        <c:axPos val="l"/>
        <c:delete val="0"/>
        <c:numFmt formatCode="General" sourceLinked="1"/>
        <c:majorTickMark val="out"/>
        <c:minorTickMark val="none"/>
        <c:tickLblPos val="nextTo"/>
        <c:crossAx val="59416291"/>
        <c:crosses val="autoZero"/>
        <c:crossBetween val="midCat"/>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Real GDP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gdp!$J$5:$J$27</c:f>
              <c:numCache>
                <c:ptCount val="23"/>
                <c:pt idx="0">
                  <c:v>14.726809955899355</c:v>
                </c:pt>
                <c:pt idx="1">
                  <c:v>14.717850214527884</c:v>
                </c:pt>
                <c:pt idx="2">
                  <c:v>14.718850714861468</c:v>
                </c:pt>
                <c:pt idx="3">
                  <c:v>14.725875329798432</c:v>
                </c:pt>
                <c:pt idx="4">
                  <c:v>14.747098966250059</c:v>
                </c:pt>
                <c:pt idx="5">
                  <c:v>14.758159913609484</c:v>
                </c:pt>
                <c:pt idx="6">
                  <c:v>14.789650580700854</c:v>
                </c:pt>
                <c:pt idx="7">
                  <c:v>14.77871064066252</c:v>
                </c:pt>
                <c:pt idx="8">
                  <c:v>14.761853523596097</c:v>
                </c:pt>
                <c:pt idx="9">
                  <c:v>14.744013605467766</c:v>
                </c:pt>
                <c:pt idx="10">
                  <c:v>14.698084951139082</c:v>
                </c:pt>
                <c:pt idx="11">
                  <c:v>14.612824122877692</c:v>
                </c:pt>
                <c:pt idx="12">
                  <c:v>14.559627501840595</c:v>
                </c:pt>
                <c:pt idx="13">
                  <c:v>14.587512613973535</c:v>
                </c:pt>
                <c:pt idx="14">
                  <c:v>14.63932905565429</c:v>
                </c:pt>
                <c:pt idx="15">
                  <c:v>14.679520982197726</c:v>
                </c:pt>
                <c:pt idx="16">
                  <c:v>14.715693534130818</c:v>
                </c:pt>
                <c:pt idx="17">
                  <c:v>14.762357542818282</c:v>
                </c:pt>
                <c:pt idx="18">
                  <c:v>14.797140836919413</c:v>
                </c:pt>
                <c:pt idx="19">
                  <c:v>14.851608574933486</c:v>
                </c:pt>
                <c:pt idx="20">
                  <c:v>14.89011052803964</c:v>
                </c:pt>
                <c:pt idx="21">
                  <c:v>14.916181178755433</c:v>
                </c:pt>
                <c:pt idx="22">
                  <c:v>14.949029044536427</c:v>
                </c:pt>
              </c:numCache>
            </c:numRef>
          </c:val>
          <c:smooth val="0"/>
        </c:ser>
        <c:axId val="37817095"/>
        <c:axId val="4809536"/>
      </c:lineChart>
      <c:lineChart>
        <c:grouping val="standard"/>
        <c:varyColors val="0"/>
        <c:ser>
          <c:idx val="1"/>
          <c:order val="1"/>
          <c:tx>
            <c:v>Growth rate of real GDP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gdp!$H$5:$H$27</c:f>
              <c:numCache>
                <c:ptCount val="23"/>
                <c:pt idx="1">
                  <c:v>-0.008999999999999914</c:v>
                </c:pt>
                <c:pt idx="2">
                  <c:v>0.0009999999999999432</c:v>
                </c:pt>
                <c:pt idx="3">
                  <c:v>0.0069999999999998865</c:v>
                </c:pt>
                <c:pt idx="4">
                  <c:v>0.020999999999999942</c:v>
                </c:pt>
                <c:pt idx="5">
                  <c:v>0.010999999999999944</c:v>
                </c:pt>
                <c:pt idx="6">
                  <c:v>0.030999999999999944</c:v>
                </c:pt>
                <c:pt idx="7">
                  <c:v>-0.010999999999999944</c:v>
                </c:pt>
                <c:pt idx="8">
                  <c:v>-0.017</c:v>
                </c:pt>
                <c:pt idx="9">
                  <c:v>-0.018000000000000002</c:v>
                </c:pt>
                <c:pt idx="10">
                  <c:v>-0.04699970939501824</c:v>
                </c:pt>
                <c:pt idx="11">
                  <c:v>-0.0890010719147341</c:v>
                </c:pt>
                <c:pt idx="12">
                  <c:v>-0.054636988553099</c:v>
                </c:pt>
                <c:pt idx="13">
                  <c:v>0.02788511213294085</c:v>
                </c:pt>
                <c:pt idx="14">
                  <c:v>0.051816441680755165</c:v>
                </c:pt>
                <c:pt idx="15">
                  <c:v>0.04019192654343613</c:v>
                </c:pt>
                <c:pt idx="16">
                  <c:v>0.03617255193309152</c:v>
                </c:pt>
                <c:pt idx="17">
                  <c:v>0.046664008687465494</c:v>
                </c:pt>
                <c:pt idx="18">
                  <c:v>0.03478329410113002</c:v>
                </c:pt>
                <c:pt idx="19">
                  <c:v>0.05446773801407272</c:v>
                </c:pt>
                <c:pt idx="20">
                  <c:v>0.03850195310615546</c:v>
                </c:pt>
                <c:pt idx="21">
                  <c:v>0.026070650715791604</c:v>
                </c:pt>
                <c:pt idx="22">
                  <c:v>0.032847865780994474</c:v>
                </c:pt>
              </c:numCache>
            </c:numRef>
          </c:val>
          <c:smooth val="0"/>
        </c:ser>
        <c:axId val="43285825"/>
        <c:axId val="54028106"/>
      </c:lineChart>
      <c:catAx>
        <c:axId val="37817095"/>
        <c:scaling>
          <c:orientation val="minMax"/>
        </c:scaling>
        <c:axPos val="b"/>
        <c:delete val="0"/>
        <c:numFmt formatCode="General" sourceLinked="1"/>
        <c:majorTickMark val="out"/>
        <c:minorTickMark val="none"/>
        <c:tickLblPos val="nextTo"/>
        <c:crossAx val="4809536"/>
        <c:crosses val="autoZero"/>
        <c:auto val="1"/>
        <c:lblOffset val="100"/>
        <c:tickLblSkip val="2"/>
        <c:noMultiLvlLbl val="0"/>
      </c:catAx>
      <c:valAx>
        <c:axId val="4809536"/>
        <c:scaling>
          <c:orientation val="minMax"/>
          <c:max val="15"/>
          <c:min val="14.5"/>
        </c:scaling>
        <c:axPos val="l"/>
        <c:title>
          <c:tx>
            <c:rich>
              <a:bodyPr vert="horz" rot="-5400000" anchor="ctr"/>
              <a:lstStyle/>
              <a:p>
                <a:pPr algn="ctr">
                  <a:defRPr/>
                </a:pPr>
                <a:r>
                  <a:rPr lang="en-US" cap="none" sz="1000" b="1" i="0" u="none" baseline="0">
                    <a:latin typeface="Arial"/>
                    <a:ea typeface="Arial"/>
                    <a:cs typeface="Arial"/>
                  </a:rPr>
                  <a:t>Millions of 1995 SIT, in logs</a:t>
                </a:r>
              </a:p>
            </c:rich>
          </c:tx>
          <c:layout/>
          <c:overlay val="0"/>
          <c:spPr>
            <a:noFill/>
            <a:ln>
              <a:noFill/>
            </a:ln>
          </c:spPr>
        </c:title>
        <c:delete val="0"/>
        <c:numFmt formatCode="0.0" sourceLinked="0"/>
        <c:majorTickMark val="out"/>
        <c:minorTickMark val="none"/>
        <c:tickLblPos val="nextTo"/>
        <c:crossAx val="37817095"/>
        <c:crossesAt val="1"/>
        <c:crossBetween val="midCat"/>
        <c:dispUnits/>
        <c:majorUnit val="0.1"/>
      </c:valAx>
      <c:catAx>
        <c:axId val="43285825"/>
        <c:scaling>
          <c:orientation val="minMax"/>
        </c:scaling>
        <c:axPos val="b"/>
        <c:delete val="1"/>
        <c:majorTickMark val="in"/>
        <c:minorTickMark val="none"/>
        <c:tickLblPos val="nextTo"/>
        <c:crossAx val="54028106"/>
        <c:crosses val="autoZero"/>
        <c:auto val="1"/>
        <c:lblOffset val="100"/>
        <c:noMultiLvlLbl val="0"/>
      </c:catAx>
      <c:valAx>
        <c:axId val="54028106"/>
        <c:scaling>
          <c:orientation val="minMax"/>
          <c:max val="0.1"/>
        </c:scaling>
        <c:axPos val="l"/>
        <c:title>
          <c:tx>
            <c:rich>
              <a:bodyPr vert="horz" rot="-5400000" anchor="ctr"/>
              <a:lstStyle/>
              <a:p>
                <a:pPr algn="ctr">
                  <a:defRPr/>
                </a:pPr>
                <a:r>
                  <a:rPr lang="en-US" cap="none" sz="1000" b="1" i="0" u="none" baseline="0">
                    <a:latin typeface="Arial"/>
                    <a:ea typeface="Arial"/>
                    <a:cs typeface="Arial"/>
                  </a:rPr>
                  <a:t>Annual growth rate</a:t>
                </a:r>
              </a:p>
            </c:rich>
          </c:tx>
          <c:layout/>
          <c:overlay val="0"/>
          <c:spPr>
            <a:noFill/>
            <a:ln>
              <a:noFill/>
            </a:ln>
          </c:spPr>
        </c:title>
        <c:delete val="0"/>
        <c:numFmt formatCode="0.00" sourceLinked="0"/>
        <c:majorTickMark val="in"/>
        <c:minorTickMark val="none"/>
        <c:tickLblPos val="nextTo"/>
        <c:crossAx val="43285825"/>
        <c:crosses val="max"/>
        <c:crossBetween val="midCat"/>
        <c:dispUnits/>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
          <c:w val="0.9645"/>
          <c:h val="1"/>
        </c:manualLayout>
      </c:layout>
      <c:lineChart>
        <c:grouping val="standard"/>
        <c:varyColors val="0"/>
        <c:ser>
          <c:idx val="0"/>
          <c:order val="0"/>
          <c:tx>
            <c:v>TFP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accounting'!$J$8:$J$16</c:f>
              <c:numCache>
                <c:ptCount val="9"/>
                <c:pt idx="0">
                  <c:v>0.03281548443577432</c:v>
                </c:pt>
                <c:pt idx="1">
                  <c:v>0.012121465720113717</c:v>
                </c:pt>
                <c:pt idx="2">
                  <c:v>0.022292115265500286</c:v>
                </c:pt>
                <c:pt idx="3">
                  <c:v>0.017954344675693994</c:v>
                </c:pt>
                <c:pt idx="4">
                  <c:v>-0.003666666534414123</c:v>
                </c:pt>
                <c:pt idx="5">
                  <c:v>0.005232166099968466</c:v>
                </c:pt>
                <c:pt idx="6">
                  <c:v>-0.003873045586752653</c:v>
                </c:pt>
                <c:pt idx="7">
                  <c:v>-0.008969417559880972</c:v>
                </c:pt>
                <c:pt idx="8">
                  <c:v>-4.8528240126077815E-05</c:v>
                </c:pt>
              </c:numCache>
            </c:numRef>
          </c:val>
          <c:smooth val="0"/>
        </c:ser>
        <c:ser>
          <c:idx val="1"/>
          <c:order val="1"/>
          <c:tx>
            <c:v>Labor</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accounting'!$M$8:$M$16</c:f>
              <c:numCache>
                <c:ptCount val="9"/>
                <c:pt idx="0">
                  <c:v>-0.002805614978277175</c:v>
                </c:pt>
                <c:pt idx="1">
                  <c:v>0.007252182607323021</c:v>
                </c:pt>
                <c:pt idx="2">
                  <c:v>-0.006823497432555865</c:v>
                </c:pt>
                <c:pt idx="3">
                  <c:v>-0.0036091413122362383</c:v>
                </c:pt>
                <c:pt idx="4">
                  <c:v>8.61485448138095E-05</c:v>
                </c:pt>
                <c:pt idx="5">
                  <c:v>0.008561750569888215</c:v>
                </c:pt>
                <c:pt idx="6">
                  <c:v>0.007785380058741212</c:v>
                </c:pt>
                <c:pt idx="7">
                  <c:v>0.0032587068383763715</c:v>
                </c:pt>
                <c:pt idx="8">
                  <c:v>-0.003725477249092594</c:v>
                </c:pt>
              </c:numCache>
            </c:numRef>
          </c:val>
          <c:smooth val="0"/>
        </c:ser>
        <c:ser>
          <c:idx val="2"/>
          <c:order val="2"/>
          <c:tx>
            <c:v>Human capital</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accounting'!$O$8:$O$16</c:f>
              <c:numCache>
                <c:ptCount val="9"/>
                <c:pt idx="0">
                  <c:v>0.010345477648392552</c:v>
                </c:pt>
                <c:pt idx="1">
                  <c:v>0.005280663065951816</c:v>
                </c:pt>
                <c:pt idx="2">
                  <c:v>0.0031009269925751765</c:v>
                </c:pt>
                <c:pt idx="3">
                  <c:v>0.012036483471986336</c:v>
                </c:pt>
                <c:pt idx="4">
                  <c:v>0.016963004957112497</c:v>
                </c:pt>
                <c:pt idx="5">
                  <c:v>0.014025224581496238</c:v>
                </c:pt>
                <c:pt idx="6">
                  <c:v>0.011620837120156553</c:v>
                </c:pt>
                <c:pt idx="7">
                  <c:v>0.010329312368607874</c:v>
                </c:pt>
                <c:pt idx="8">
                  <c:v>0.016839993866761625</c:v>
                </c:pt>
              </c:numCache>
            </c:numRef>
          </c:val>
          <c:smooth val="0"/>
        </c:ser>
        <c:ser>
          <c:idx val="3"/>
          <c:order val="3"/>
          <c:tx>
            <c:v>Physical capital</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accounting'!$N$8:$N$16</c:f>
              <c:numCache>
                <c:ptCount val="9"/>
                <c:pt idx="0">
                  <c:v>0.011461094574865677</c:v>
                </c:pt>
                <c:pt idx="1">
                  <c:v>0.015537615150047365</c:v>
                </c:pt>
                <c:pt idx="2">
                  <c:v>0.01760300710757192</c:v>
                </c:pt>
                <c:pt idx="3">
                  <c:v>0.020282321852021407</c:v>
                </c:pt>
                <c:pt idx="4">
                  <c:v>0.021400807133617836</c:v>
                </c:pt>
                <c:pt idx="5">
                  <c:v>0.0266485967627198</c:v>
                </c:pt>
                <c:pt idx="6">
                  <c:v>0.022968781514010345</c:v>
                </c:pt>
                <c:pt idx="7">
                  <c:v>0.02145204906868833</c:v>
                </c:pt>
                <c:pt idx="8">
                  <c:v>0.019781877403451522</c:v>
                </c:pt>
              </c:numCache>
            </c:numRef>
          </c:val>
          <c:smooth val="0"/>
        </c:ser>
        <c:ser>
          <c:idx val="4"/>
          <c:order val="4"/>
          <c:tx>
            <c:v>GDP</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'growth accounting'!$L$8:$L$16</c:f>
              <c:numCache>
                <c:ptCount val="9"/>
                <c:pt idx="0">
                  <c:v>0.05318240437749037</c:v>
                </c:pt>
                <c:pt idx="1">
                  <c:v>0.041010552577423975</c:v>
                </c:pt>
                <c:pt idx="2">
                  <c:v>0.036834738894857506</c:v>
                </c:pt>
                <c:pt idx="3">
                  <c:v>0.04776990834483514</c:v>
                </c:pt>
                <c:pt idx="4">
                  <c:v>0.035395308215083666</c:v>
                </c:pt>
                <c:pt idx="5">
                  <c:v>0.05597840790363371</c:v>
                </c:pt>
                <c:pt idx="6">
                  <c:v>0.03925275812696079</c:v>
                </c:pt>
                <c:pt idx="7">
                  <c:v>0.026413462757660985</c:v>
                </c:pt>
                <c:pt idx="8">
                  <c:v>0.033393312797279556</c:v>
                </c:pt>
              </c:numCache>
            </c:numRef>
          </c:val>
          <c:smooth val="0"/>
        </c:ser>
        <c:axId val="47990237"/>
        <c:axId val="29258950"/>
      </c:lineChart>
      <c:catAx>
        <c:axId val="47990237"/>
        <c:scaling>
          <c:orientation val="minMax"/>
        </c:scaling>
        <c:axPos val="b"/>
        <c:delete val="0"/>
        <c:numFmt formatCode="General" sourceLinked="1"/>
        <c:majorTickMark val="out"/>
        <c:minorTickMark val="none"/>
        <c:tickLblPos val="nextTo"/>
        <c:crossAx val="29258950"/>
        <c:crosses val="autoZero"/>
        <c:auto val="1"/>
        <c:lblOffset val="100"/>
        <c:noMultiLvlLbl val="0"/>
      </c:catAx>
      <c:valAx>
        <c:axId val="29258950"/>
        <c:scaling>
          <c:orientation val="minMax"/>
          <c:max val="0.06"/>
          <c:min val="-0.01"/>
        </c:scaling>
        <c:axPos val="l"/>
        <c:title>
          <c:tx>
            <c:rich>
              <a:bodyPr vert="horz" rot="-5400000" anchor="ctr"/>
              <a:lstStyle/>
              <a:p>
                <a:pPr algn="ctr">
                  <a:defRPr/>
                </a:pPr>
                <a:r>
                  <a:rPr lang="en-US"/>
                  <a:t>Contribution to annual GDP growth rate</a:t>
                </a:r>
              </a:p>
            </c:rich>
          </c:tx>
          <c:layout/>
          <c:overlay val="0"/>
          <c:spPr>
            <a:noFill/>
            <a:ln>
              <a:noFill/>
            </a:ln>
          </c:spPr>
        </c:title>
        <c:delete val="0"/>
        <c:numFmt formatCode="0.00" sourceLinked="0"/>
        <c:majorTickMark val="out"/>
        <c:minorTickMark val="none"/>
        <c:tickLblPos val="nextTo"/>
        <c:crossAx val="47990237"/>
        <c:crossesAt val="1"/>
        <c:crossBetween val="midCat"/>
        <c:dispUnits/>
        <c:majorUnit val="0.01"/>
      </c:valAx>
      <c:spPr>
        <a:noFill/>
        <a:ln>
          <a:noFill/>
        </a:ln>
      </c:spPr>
    </c:plotArea>
    <c:legend>
      <c:legendPos val="r"/>
      <c:layout>
        <c:manualLayout>
          <c:xMode val="edge"/>
          <c:yMode val="edge"/>
          <c:x val="0.17225"/>
          <c:y val="0"/>
          <c:w val="0.3785"/>
          <c:h val="0.153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TFP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accounting'!$J$8:$J$16</c:f>
              <c:numCache>
                <c:ptCount val="9"/>
                <c:pt idx="0">
                  <c:v>0.03281548443577432</c:v>
                </c:pt>
                <c:pt idx="1">
                  <c:v>0.012121465720113717</c:v>
                </c:pt>
                <c:pt idx="2">
                  <c:v>0.022292115265500286</c:v>
                </c:pt>
                <c:pt idx="3">
                  <c:v>0.017954344675693994</c:v>
                </c:pt>
                <c:pt idx="4">
                  <c:v>-0.003666666534414123</c:v>
                </c:pt>
                <c:pt idx="5">
                  <c:v>0.005232166099968466</c:v>
                </c:pt>
                <c:pt idx="6">
                  <c:v>-0.003873045586752653</c:v>
                </c:pt>
                <c:pt idx="7">
                  <c:v>-0.008969417559880972</c:v>
                </c:pt>
                <c:pt idx="8">
                  <c:v>-4.8528240126077815E-05</c:v>
                </c:pt>
              </c:numCache>
            </c:numRef>
          </c:val>
          <c:smooth val="0"/>
        </c:ser>
        <c:ser>
          <c:idx val="1"/>
          <c:order val="1"/>
          <c:tx>
            <c:v>Labor</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accounting'!$M$8:$M$16</c:f>
              <c:numCache>
                <c:ptCount val="9"/>
                <c:pt idx="0">
                  <c:v>-0.002805614978277175</c:v>
                </c:pt>
                <c:pt idx="1">
                  <c:v>0.007252182607323021</c:v>
                </c:pt>
                <c:pt idx="2">
                  <c:v>-0.006823497432555865</c:v>
                </c:pt>
                <c:pt idx="3">
                  <c:v>-0.0036091413122362383</c:v>
                </c:pt>
                <c:pt idx="4">
                  <c:v>8.61485448138095E-05</c:v>
                </c:pt>
                <c:pt idx="5">
                  <c:v>0.008561750569888215</c:v>
                </c:pt>
                <c:pt idx="6">
                  <c:v>0.007785380058741212</c:v>
                </c:pt>
                <c:pt idx="7">
                  <c:v>0.0032587068383763715</c:v>
                </c:pt>
                <c:pt idx="8">
                  <c:v>-0.003725477249092594</c:v>
                </c:pt>
              </c:numCache>
            </c:numRef>
          </c:val>
          <c:smooth val="0"/>
        </c:ser>
        <c:ser>
          <c:idx val="2"/>
          <c:order val="2"/>
          <c:tx>
            <c:v>Human capital</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accounting'!$O$8:$O$16</c:f>
              <c:numCache>
                <c:ptCount val="9"/>
                <c:pt idx="0">
                  <c:v>0.010345477648392552</c:v>
                </c:pt>
                <c:pt idx="1">
                  <c:v>0.005280663065951816</c:v>
                </c:pt>
                <c:pt idx="2">
                  <c:v>0.0031009269925751765</c:v>
                </c:pt>
                <c:pt idx="3">
                  <c:v>0.012036483471986336</c:v>
                </c:pt>
                <c:pt idx="4">
                  <c:v>0.016963004957112497</c:v>
                </c:pt>
                <c:pt idx="5">
                  <c:v>0.014025224581496238</c:v>
                </c:pt>
                <c:pt idx="6">
                  <c:v>0.011620837120156553</c:v>
                </c:pt>
                <c:pt idx="7">
                  <c:v>0.010329312368607874</c:v>
                </c:pt>
                <c:pt idx="8">
                  <c:v>0.016839993866761625</c:v>
                </c:pt>
              </c:numCache>
            </c:numRef>
          </c:val>
          <c:smooth val="0"/>
        </c:ser>
        <c:ser>
          <c:idx val="3"/>
          <c:order val="3"/>
          <c:tx>
            <c:v>Physical capital</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accounting'!$N$8:$N$16</c:f>
              <c:numCache>
                <c:ptCount val="9"/>
                <c:pt idx="0">
                  <c:v>0.011461094574865677</c:v>
                </c:pt>
                <c:pt idx="1">
                  <c:v>0.015537615150047365</c:v>
                </c:pt>
                <c:pt idx="2">
                  <c:v>0.01760300710757192</c:v>
                </c:pt>
                <c:pt idx="3">
                  <c:v>0.020282321852021407</c:v>
                </c:pt>
                <c:pt idx="4">
                  <c:v>0.021400807133617836</c:v>
                </c:pt>
                <c:pt idx="5">
                  <c:v>0.0266485967627198</c:v>
                </c:pt>
                <c:pt idx="6">
                  <c:v>0.022968781514010345</c:v>
                </c:pt>
                <c:pt idx="7">
                  <c:v>0.02145204906868833</c:v>
                </c:pt>
                <c:pt idx="8">
                  <c:v>0.019781877403451522</c:v>
                </c:pt>
              </c:numCache>
            </c:numRef>
          </c:val>
          <c:smooth val="0"/>
        </c:ser>
        <c:ser>
          <c:idx val="4"/>
          <c:order val="4"/>
          <c:tx>
            <c:v>GDP</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'growth accounting'!$L$8:$L$16</c:f>
              <c:numCache>
                <c:ptCount val="9"/>
                <c:pt idx="0">
                  <c:v>0.05318240437749037</c:v>
                </c:pt>
                <c:pt idx="1">
                  <c:v>0.041010552577423975</c:v>
                </c:pt>
                <c:pt idx="2">
                  <c:v>0.036834738894857506</c:v>
                </c:pt>
                <c:pt idx="3">
                  <c:v>0.04776990834483514</c:v>
                </c:pt>
                <c:pt idx="4">
                  <c:v>0.035395308215083666</c:v>
                </c:pt>
                <c:pt idx="5">
                  <c:v>0.05597840790363371</c:v>
                </c:pt>
                <c:pt idx="6">
                  <c:v>0.03925275812696079</c:v>
                </c:pt>
                <c:pt idx="7">
                  <c:v>0.026413462757660985</c:v>
                </c:pt>
                <c:pt idx="8">
                  <c:v>0.033393312797279556</c:v>
                </c:pt>
              </c:numCache>
            </c:numRef>
          </c:val>
          <c:smooth val="0"/>
        </c:ser>
        <c:axId val="62003959"/>
        <c:axId val="21164720"/>
      </c:lineChart>
      <c:catAx>
        <c:axId val="62003959"/>
        <c:scaling>
          <c:orientation val="minMax"/>
        </c:scaling>
        <c:axPos val="b"/>
        <c:delete val="0"/>
        <c:numFmt formatCode="General" sourceLinked="1"/>
        <c:majorTickMark val="out"/>
        <c:minorTickMark val="none"/>
        <c:tickLblPos val="nextTo"/>
        <c:crossAx val="21164720"/>
        <c:crosses val="autoZero"/>
        <c:auto val="1"/>
        <c:lblOffset val="100"/>
        <c:noMultiLvlLbl val="0"/>
      </c:catAx>
      <c:valAx>
        <c:axId val="21164720"/>
        <c:scaling>
          <c:orientation val="minMax"/>
          <c:max val="0.06"/>
        </c:scaling>
        <c:axPos val="l"/>
        <c:title>
          <c:tx>
            <c:rich>
              <a:bodyPr vert="horz" rot="-5400000" anchor="ctr"/>
              <a:lstStyle/>
              <a:p>
                <a:pPr algn="ctr">
                  <a:defRPr/>
                </a:pPr>
                <a:r>
                  <a:rPr lang="en-US" cap="none" sz="1000" b="1" i="0" u="none" baseline="0">
                    <a:latin typeface="Arial"/>
                    <a:ea typeface="Arial"/>
                    <a:cs typeface="Arial"/>
                  </a:rPr>
                  <a:t>Contribution to annual GDP growth rate</a:t>
                </a:r>
              </a:p>
            </c:rich>
          </c:tx>
          <c:layout/>
          <c:overlay val="0"/>
          <c:spPr>
            <a:noFill/>
            <a:ln>
              <a:noFill/>
            </a:ln>
          </c:spPr>
        </c:title>
        <c:delete val="0"/>
        <c:numFmt formatCode="0.00" sourceLinked="0"/>
        <c:majorTickMark val="out"/>
        <c:minorTickMark val="none"/>
        <c:tickLblPos val="nextTo"/>
        <c:crossAx val="62003959"/>
        <c:crossesAt val="1"/>
        <c:crossBetween val="midCat"/>
        <c:dispUnits/>
        <c:majorUnit val="0.01"/>
      </c:valAx>
      <c:spPr>
        <a:noFill/>
        <a:ln>
          <a:no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
          <c:w val="0.96475"/>
          <c:h val="1"/>
        </c:manualLayout>
      </c:layout>
      <c:lineChart>
        <c:grouping val="standard"/>
        <c:varyColors val="0"/>
        <c:ser>
          <c:idx val="0"/>
          <c:order val="0"/>
          <c:tx>
            <c:v>TFP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accounting'!$J$122:$J$130</c:f>
              <c:numCache>
                <c:ptCount val="9"/>
                <c:pt idx="0">
                  <c:v>0.03907712415480594</c:v>
                </c:pt>
                <c:pt idx="1">
                  <c:v>0.02088216597308212</c:v>
                </c:pt>
                <c:pt idx="2">
                  <c:v>0.03214428378571992</c:v>
                </c:pt>
                <c:pt idx="3">
                  <c:v>0.03627394739346209</c:v>
                </c:pt>
                <c:pt idx="4">
                  <c:v>0.024262157325977203</c:v>
                </c:pt>
                <c:pt idx="5">
                  <c:v>0.02956566603996269</c:v>
                </c:pt>
                <c:pt idx="6">
                  <c:v>0.01916598711556761</c:v>
                </c:pt>
                <c:pt idx="7">
                  <c:v>0.014990748662677748</c:v>
                </c:pt>
                <c:pt idx="8">
                  <c:v>0.026718983295788725</c:v>
                </c:pt>
              </c:numCache>
            </c:numRef>
          </c:val>
          <c:smooth val="0"/>
        </c:ser>
        <c:ser>
          <c:idx val="1"/>
          <c:order val="1"/>
          <c:tx>
            <c:v>Labor</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accounting'!$M$122:$M$130</c:f>
              <c:numCache>
                <c:ptCount val="9"/>
                <c:pt idx="0">
                  <c:v>-0.002805614978277175</c:v>
                </c:pt>
                <c:pt idx="1">
                  <c:v>0.007252182607323021</c:v>
                </c:pt>
                <c:pt idx="2">
                  <c:v>-0.006823497432555865</c:v>
                </c:pt>
                <c:pt idx="3">
                  <c:v>-0.0036091413122362383</c:v>
                </c:pt>
                <c:pt idx="4">
                  <c:v>8.61485448138095E-05</c:v>
                </c:pt>
                <c:pt idx="5">
                  <c:v>0.008561750569888215</c:v>
                </c:pt>
                <c:pt idx="6">
                  <c:v>0.007785380058741212</c:v>
                </c:pt>
                <c:pt idx="7">
                  <c:v>0.0032587068383763715</c:v>
                </c:pt>
                <c:pt idx="8">
                  <c:v>-0.003725477249092594</c:v>
                </c:pt>
              </c:numCache>
            </c:numRef>
          </c:val>
          <c:smooth val="0"/>
        </c:ser>
        <c:ser>
          <c:idx val="3"/>
          <c:order val="2"/>
          <c:tx>
            <c:v>Physical capital</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accounting'!$N$122:$N$130</c:f>
              <c:numCache>
                <c:ptCount val="9"/>
                <c:pt idx="0">
                  <c:v>0.015544932504226616</c:v>
                </c:pt>
                <c:pt idx="1">
                  <c:v>0.012057577963030777</c:v>
                </c:pt>
                <c:pt idx="2">
                  <c:v>0.010851765579927458</c:v>
                </c:pt>
                <c:pt idx="3">
                  <c:v>0.013999202606239653</c:v>
                </c:pt>
                <c:pt idx="4">
                  <c:v>0.010434988230339007</c:v>
                </c:pt>
                <c:pt idx="5">
                  <c:v>0.016340321404221817</c:v>
                </c:pt>
                <c:pt idx="6">
                  <c:v>0.011550585931846638</c:v>
                </c:pt>
                <c:pt idx="7">
                  <c:v>0.007821195214737483</c:v>
                </c:pt>
                <c:pt idx="8">
                  <c:v>0.009854359734298344</c:v>
                </c:pt>
              </c:numCache>
            </c:numRef>
          </c:val>
          <c:smooth val="0"/>
        </c:ser>
        <c:ser>
          <c:idx val="2"/>
          <c:order val="3"/>
          <c:tx>
            <c:v>GDP</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'growth accounting'!$L$8:$L$16</c:f>
              <c:numCache>
                <c:ptCount val="9"/>
                <c:pt idx="0">
                  <c:v>0.05318240437749037</c:v>
                </c:pt>
                <c:pt idx="1">
                  <c:v>0.041010552577423975</c:v>
                </c:pt>
                <c:pt idx="2">
                  <c:v>0.036834738894857506</c:v>
                </c:pt>
                <c:pt idx="3">
                  <c:v>0.04776990834483514</c:v>
                </c:pt>
                <c:pt idx="4">
                  <c:v>0.035395308215083666</c:v>
                </c:pt>
                <c:pt idx="5">
                  <c:v>0.05597840790363371</c:v>
                </c:pt>
                <c:pt idx="6">
                  <c:v>0.03925275812696079</c:v>
                </c:pt>
                <c:pt idx="7">
                  <c:v>0.026413462757660985</c:v>
                </c:pt>
                <c:pt idx="8">
                  <c:v>0.033393312797279556</c:v>
                </c:pt>
              </c:numCache>
            </c:numRef>
          </c:val>
          <c:smooth val="0"/>
        </c:ser>
        <c:axId val="56264753"/>
        <c:axId val="36620730"/>
      </c:lineChart>
      <c:catAx>
        <c:axId val="56264753"/>
        <c:scaling>
          <c:orientation val="minMax"/>
        </c:scaling>
        <c:axPos val="b"/>
        <c:delete val="0"/>
        <c:numFmt formatCode="General" sourceLinked="1"/>
        <c:majorTickMark val="out"/>
        <c:minorTickMark val="none"/>
        <c:tickLblPos val="nextTo"/>
        <c:crossAx val="36620730"/>
        <c:crosses val="autoZero"/>
        <c:auto val="1"/>
        <c:lblOffset val="100"/>
        <c:noMultiLvlLbl val="0"/>
      </c:catAx>
      <c:valAx>
        <c:axId val="36620730"/>
        <c:scaling>
          <c:orientation val="minMax"/>
          <c:max val="0.06"/>
          <c:min val="-0.01"/>
        </c:scaling>
        <c:axPos val="l"/>
        <c:title>
          <c:tx>
            <c:rich>
              <a:bodyPr vert="horz" rot="-5400000" anchor="ctr"/>
              <a:lstStyle/>
              <a:p>
                <a:pPr algn="ctr">
                  <a:defRPr/>
                </a:pPr>
                <a:r>
                  <a:rPr lang="en-US"/>
                  <a:t>Contribution to annual GDP growth rate</a:t>
                </a:r>
              </a:p>
            </c:rich>
          </c:tx>
          <c:layout>
            <c:manualLayout>
              <c:xMode val="factor"/>
              <c:yMode val="factor"/>
              <c:x val="-0.00575"/>
              <c:y val="0.00225"/>
            </c:manualLayout>
          </c:layout>
          <c:overlay val="0"/>
          <c:spPr>
            <a:noFill/>
            <a:ln>
              <a:noFill/>
            </a:ln>
          </c:spPr>
        </c:title>
        <c:delete val="0"/>
        <c:numFmt formatCode="0.00" sourceLinked="0"/>
        <c:majorTickMark val="out"/>
        <c:minorTickMark val="none"/>
        <c:tickLblPos val="nextTo"/>
        <c:crossAx val="56264753"/>
        <c:crossesAt val="1"/>
        <c:crossBetween val="midCat"/>
        <c:dispUnits/>
        <c:majorUnit val="0.01"/>
      </c:valAx>
      <c:spPr>
        <a:noFill/>
        <a:ln>
          <a:noFill/>
        </a:ln>
      </c:spPr>
    </c:plotArea>
    <c:legend>
      <c:legendPos val="r"/>
      <c:layout>
        <c:manualLayout>
          <c:xMode val="edge"/>
          <c:yMode val="edge"/>
          <c:x val="0.176"/>
          <c:y val="0"/>
          <c:w val="0.37475"/>
          <c:h val="0.1187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TFP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accounting'!$J$122:$J$130</c:f>
              <c:numCache>
                <c:ptCount val="9"/>
                <c:pt idx="0">
                  <c:v>0.03907712415480594</c:v>
                </c:pt>
                <c:pt idx="1">
                  <c:v>0.02088216597308212</c:v>
                </c:pt>
                <c:pt idx="2">
                  <c:v>0.03214428378571992</c:v>
                </c:pt>
                <c:pt idx="3">
                  <c:v>0.03627394739346209</c:v>
                </c:pt>
                <c:pt idx="4">
                  <c:v>0.024262157325977203</c:v>
                </c:pt>
                <c:pt idx="5">
                  <c:v>0.02956566603996269</c:v>
                </c:pt>
                <c:pt idx="6">
                  <c:v>0.01916598711556761</c:v>
                </c:pt>
                <c:pt idx="7">
                  <c:v>0.014990748662677748</c:v>
                </c:pt>
                <c:pt idx="8">
                  <c:v>0.026718983295788725</c:v>
                </c:pt>
              </c:numCache>
            </c:numRef>
          </c:val>
          <c:smooth val="0"/>
        </c:ser>
        <c:ser>
          <c:idx val="1"/>
          <c:order val="1"/>
          <c:tx>
            <c:v>Labor</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accounting'!$M$122:$M$130</c:f>
              <c:numCache>
                <c:ptCount val="9"/>
                <c:pt idx="0">
                  <c:v>-0.002805614978277175</c:v>
                </c:pt>
                <c:pt idx="1">
                  <c:v>0.007252182607323021</c:v>
                </c:pt>
                <c:pt idx="2">
                  <c:v>-0.006823497432555865</c:v>
                </c:pt>
                <c:pt idx="3">
                  <c:v>-0.0036091413122362383</c:v>
                </c:pt>
                <c:pt idx="4">
                  <c:v>8.61485448138095E-05</c:v>
                </c:pt>
                <c:pt idx="5">
                  <c:v>0.008561750569888215</c:v>
                </c:pt>
                <c:pt idx="6">
                  <c:v>0.007785380058741212</c:v>
                </c:pt>
                <c:pt idx="7">
                  <c:v>0.0032587068383763715</c:v>
                </c:pt>
                <c:pt idx="8">
                  <c:v>-0.003725477249092594</c:v>
                </c:pt>
              </c:numCache>
            </c:numRef>
          </c:val>
          <c:smooth val="0"/>
        </c:ser>
        <c:ser>
          <c:idx val="3"/>
          <c:order val="2"/>
          <c:tx>
            <c:v>Physical capital</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accounting'!$N$122:$N$130</c:f>
              <c:numCache>
                <c:ptCount val="9"/>
                <c:pt idx="0">
                  <c:v>0.015544932504226616</c:v>
                </c:pt>
                <c:pt idx="1">
                  <c:v>0.012057577963030777</c:v>
                </c:pt>
                <c:pt idx="2">
                  <c:v>0.010851765579927458</c:v>
                </c:pt>
                <c:pt idx="3">
                  <c:v>0.013999202606239653</c:v>
                </c:pt>
                <c:pt idx="4">
                  <c:v>0.010434988230339007</c:v>
                </c:pt>
                <c:pt idx="5">
                  <c:v>0.016340321404221817</c:v>
                </c:pt>
                <c:pt idx="6">
                  <c:v>0.011550585931846638</c:v>
                </c:pt>
                <c:pt idx="7">
                  <c:v>0.007821195214737483</c:v>
                </c:pt>
                <c:pt idx="8">
                  <c:v>0.009854359734298344</c:v>
                </c:pt>
              </c:numCache>
            </c:numRef>
          </c:val>
          <c:smooth val="0"/>
        </c:ser>
        <c:ser>
          <c:idx val="2"/>
          <c:order val="3"/>
          <c:tx>
            <c:v>GDP</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'growth accounting'!$L$8:$L$16</c:f>
              <c:numCache>
                <c:ptCount val="9"/>
                <c:pt idx="0">
                  <c:v>0.05318240437749037</c:v>
                </c:pt>
                <c:pt idx="1">
                  <c:v>0.041010552577423975</c:v>
                </c:pt>
                <c:pt idx="2">
                  <c:v>0.036834738894857506</c:v>
                </c:pt>
                <c:pt idx="3">
                  <c:v>0.04776990834483514</c:v>
                </c:pt>
                <c:pt idx="4">
                  <c:v>0.035395308215083666</c:v>
                </c:pt>
                <c:pt idx="5">
                  <c:v>0.05597840790363371</c:v>
                </c:pt>
                <c:pt idx="6">
                  <c:v>0.03925275812696079</c:v>
                </c:pt>
                <c:pt idx="7">
                  <c:v>0.026413462757660985</c:v>
                </c:pt>
                <c:pt idx="8">
                  <c:v>0.033393312797279556</c:v>
                </c:pt>
              </c:numCache>
            </c:numRef>
          </c:val>
          <c:smooth val="0"/>
        </c:ser>
        <c:axId val="61151115"/>
        <c:axId val="13489124"/>
      </c:lineChart>
      <c:catAx>
        <c:axId val="61151115"/>
        <c:scaling>
          <c:orientation val="minMax"/>
        </c:scaling>
        <c:axPos val="b"/>
        <c:delete val="0"/>
        <c:numFmt formatCode="General" sourceLinked="1"/>
        <c:majorTickMark val="out"/>
        <c:minorTickMark val="none"/>
        <c:tickLblPos val="nextTo"/>
        <c:crossAx val="13489124"/>
        <c:crosses val="autoZero"/>
        <c:auto val="1"/>
        <c:lblOffset val="100"/>
        <c:noMultiLvlLbl val="0"/>
      </c:catAx>
      <c:valAx>
        <c:axId val="13489124"/>
        <c:scaling>
          <c:orientation val="minMax"/>
          <c:max val="0.06"/>
          <c:min val="-0.02"/>
        </c:scaling>
        <c:axPos val="l"/>
        <c:title>
          <c:tx>
            <c:rich>
              <a:bodyPr vert="horz" rot="-5400000" anchor="ctr"/>
              <a:lstStyle/>
              <a:p>
                <a:pPr algn="ctr">
                  <a:defRPr/>
                </a:pPr>
                <a:r>
                  <a:rPr lang="en-US" cap="none" sz="1000" b="1" i="0" u="none" baseline="0">
                    <a:latin typeface="Arial"/>
                    <a:ea typeface="Arial"/>
                    <a:cs typeface="Arial"/>
                  </a:rPr>
                  <a:t>Contribution to annual GDP growth rate</a:t>
                </a:r>
              </a:p>
            </c:rich>
          </c:tx>
          <c:layout/>
          <c:overlay val="0"/>
          <c:spPr>
            <a:noFill/>
            <a:ln>
              <a:noFill/>
            </a:ln>
          </c:spPr>
        </c:title>
        <c:delete val="0"/>
        <c:numFmt formatCode="0.00" sourceLinked="0"/>
        <c:majorTickMark val="out"/>
        <c:minorTickMark val="none"/>
        <c:tickLblPos val="nextTo"/>
        <c:crossAx val="61151115"/>
        <c:crossesAt val="1"/>
        <c:crossBetween val="midCat"/>
        <c:dispUnits/>
        <c:majorUnit val="0.01"/>
      </c:valAx>
      <c:spPr>
        <a:noFill/>
        <a:ln>
          <a:no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
          <c:w val="0.963"/>
          <c:h val="1"/>
        </c:manualLayout>
      </c:layout>
      <c:lineChart>
        <c:grouping val="standard"/>
        <c:varyColors val="0"/>
        <c:ser>
          <c:idx val="0"/>
          <c:order val="0"/>
          <c:tx>
            <c:v>Past TFP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projection'!$J$6:$J$25</c:f>
              <c:numCache>
                <c:ptCount val="20"/>
                <c:pt idx="0">
                  <c:v>0.03281548443577432</c:v>
                </c:pt>
                <c:pt idx="1">
                  <c:v>0.012121465720113717</c:v>
                </c:pt>
                <c:pt idx="2">
                  <c:v>0.022292115265500286</c:v>
                </c:pt>
                <c:pt idx="3">
                  <c:v>0.017954344675693994</c:v>
                </c:pt>
                <c:pt idx="4">
                  <c:v>-0.003666666534414123</c:v>
                </c:pt>
                <c:pt idx="5">
                  <c:v>0.005232166099968466</c:v>
                </c:pt>
                <c:pt idx="6">
                  <c:v>-0.003873045586752653</c:v>
                </c:pt>
                <c:pt idx="7">
                  <c:v>-0.008969417559880972</c:v>
                </c:pt>
                <c:pt idx="8">
                  <c:v>-4.8528240126077815E-05</c:v>
                </c:pt>
              </c:numCache>
            </c:numRef>
          </c:val>
          <c:smooth val="0"/>
        </c:ser>
        <c:ser>
          <c:idx val="1"/>
          <c:order val="1"/>
          <c:tx>
            <c:v>Past Labor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projection'!$L$6:$L$25</c:f>
              <c:numCache>
                <c:ptCount val="20"/>
                <c:pt idx="0">
                  <c:v>-0.002805614978277175</c:v>
                </c:pt>
                <c:pt idx="1">
                  <c:v>0.007252182607323021</c:v>
                </c:pt>
                <c:pt idx="2">
                  <c:v>-0.006823497432555865</c:v>
                </c:pt>
                <c:pt idx="3">
                  <c:v>-0.0036091413122362383</c:v>
                </c:pt>
                <c:pt idx="4">
                  <c:v>8.61485448138095E-05</c:v>
                </c:pt>
                <c:pt idx="5">
                  <c:v>0.008561750569888215</c:v>
                </c:pt>
                <c:pt idx="6">
                  <c:v>0.007785380058741212</c:v>
                </c:pt>
                <c:pt idx="7">
                  <c:v>0.0032587068383763715</c:v>
                </c:pt>
                <c:pt idx="8">
                  <c:v>-0.003725477249092594</c:v>
                </c:pt>
              </c:numCache>
            </c:numRef>
          </c:val>
          <c:smooth val="0"/>
        </c:ser>
        <c:ser>
          <c:idx val="2"/>
          <c:order val="2"/>
          <c:tx>
            <c:v>Past human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projection'!$N$6:$N$25</c:f>
              <c:numCache>
                <c:ptCount val="20"/>
                <c:pt idx="0">
                  <c:v>0.010345477648392552</c:v>
                </c:pt>
                <c:pt idx="1">
                  <c:v>0.005280663065951816</c:v>
                </c:pt>
                <c:pt idx="2">
                  <c:v>0.0031009269925751765</c:v>
                </c:pt>
                <c:pt idx="3">
                  <c:v>0.012036483471986336</c:v>
                </c:pt>
                <c:pt idx="4">
                  <c:v>0.016963004957112497</c:v>
                </c:pt>
                <c:pt idx="5">
                  <c:v>0.014025224581496238</c:v>
                </c:pt>
                <c:pt idx="6">
                  <c:v>0.011620837120156553</c:v>
                </c:pt>
                <c:pt idx="7">
                  <c:v>0.010329312368607874</c:v>
                </c:pt>
                <c:pt idx="8">
                  <c:v>0.016839993866761625</c:v>
                </c:pt>
              </c:numCache>
            </c:numRef>
          </c:val>
          <c:smooth val="0"/>
        </c:ser>
        <c:ser>
          <c:idx val="3"/>
          <c:order val="3"/>
          <c:tx>
            <c:v>Past physical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projection'!$M$6:$M$25</c:f>
              <c:numCache>
                <c:ptCount val="20"/>
                <c:pt idx="0">
                  <c:v>0.011461094574865677</c:v>
                </c:pt>
                <c:pt idx="1">
                  <c:v>0.015537615150047365</c:v>
                </c:pt>
                <c:pt idx="2">
                  <c:v>0.01760300710757192</c:v>
                </c:pt>
                <c:pt idx="3">
                  <c:v>0.020282321852021407</c:v>
                </c:pt>
                <c:pt idx="4">
                  <c:v>0.021400807133617836</c:v>
                </c:pt>
                <c:pt idx="5">
                  <c:v>0.0266485967627198</c:v>
                </c:pt>
                <c:pt idx="6">
                  <c:v>0.022968781514010345</c:v>
                </c:pt>
                <c:pt idx="7">
                  <c:v>0.02145204906868833</c:v>
                </c:pt>
                <c:pt idx="8">
                  <c:v>0.019781877403451522</c:v>
                </c:pt>
              </c:numCache>
            </c:numRef>
          </c:val>
          <c:smooth val="0"/>
        </c:ser>
        <c:ser>
          <c:idx val="4"/>
          <c:order val="4"/>
          <c:tx>
            <c:v>Projected TFP</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FFFF"/>
              </a:solid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projection'!$J$30:$J$49</c:f>
              <c:numCache>
                <c:ptCount val="20"/>
                <c:pt idx="8">
                  <c:v>-4.8528240126077815E-05</c:v>
                </c:pt>
                <c:pt idx="9">
                  <c:v>0.004760257181800065</c:v>
                </c:pt>
                <c:pt idx="10">
                  <c:v>0.004760257181800065</c:v>
                </c:pt>
                <c:pt idx="11">
                  <c:v>0.0047602571818000025</c:v>
                </c:pt>
                <c:pt idx="12">
                  <c:v>0.004760257181800065</c:v>
                </c:pt>
                <c:pt idx="13">
                  <c:v>0.004760257181800065</c:v>
                </c:pt>
                <c:pt idx="14">
                  <c:v>0.004760257181800065</c:v>
                </c:pt>
                <c:pt idx="15">
                  <c:v>0.004760257181800065</c:v>
                </c:pt>
                <c:pt idx="16">
                  <c:v>0.004760257181800065</c:v>
                </c:pt>
                <c:pt idx="17">
                  <c:v>0.004760257181800065</c:v>
                </c:pt>
                <c:pt idx="18">
                  <c:v>0.004760257181800065</c:v>
                </c:pt>
                <c:pt idx="19">
                  <c:v>0.004760257181800065</c:v>
                </c:pt>
              </c:numCache>
            </c:numRef>
          </c:val>
          <c:smooth val="0"/>
        </c:ser>
        <c:ser>
          <c:idx val="5"/>
          <c:order val="5"/>
          <c:tx>
            <c:v>Projected labor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projection'!$L$30:$L$49</c:f>
              <c:numCache>
                <c:ptCount val="20"/>
                <c:pt idx="8">
                  <c:v>-0.003725477249092594</c:v>
                </c:pt>
                <c:pt idx="9">
                  <c:v>0.0008394964028375308</c:v>
                </c:pt>
                <c:pt idx="10">
                  <c:v>0.0008394964028375308</c:v>
                </c:pt>
                <c:pt idx="11">
                  <c:v>0.0008394964028375308</c:v>
                </c:pt>
                <c:pt idx="12">
                  <c:v>0.0008394964028375308</c:v>
                </c:pt>
                <c:pt idx="13">
                  <c:v>0.0008394964028375308</c:v>
                </c:pt>
                <c:pt idx="14">
                  <c:v>0.0008394964028375308</c:v>
                </c:pt>
                <c:pt idx="15">
                  <c:v>0.0008394964028375308</c:v>
                </c:pt>
                <c:pt idx="16">
                  <c:v>0.0008394964028375308</c:v>
                </c:pt>
                <c:pt idx="17">
                  <c:v>0.0008394964028375308</c:v>
                </c:pt>
                <c:pt idx="18">
                  <c:v>0.0008394964028375308</c:v>
                </c:pt>
                <c:pt idx="19">
                  <c:v>0.0008394964028375308</c:v>
                </c:pt>
              </c:numCache>
            </c:numRef>
          </c:val>
          <c:smooth val="0"/>
        </c:ser>
        <c:ser>
          <c:idx val="6"/>
          <c:order val="6"/>
          <c:tx>
            <c:v>Projected human capital</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projection'!$N$30:$N$49</c:f>
              <c:numCache>
                <c:ptCount val="20"/>
                <c:pt idx="8">
                  <c:v>0.016839993866761625</c:v>
                </c:pt>
                <c:pt idx="9">
                  <c:v>0.015917640878642537</c:v>
                </c:pt>
                <c:pt idx="10">
                  <c:v>0.015917640878642537</c:v>
                </c:pt>
                <c:pt idx="11">
                  <c:v>0.015917640878642537</c:v>
                </c:pt>
                <c:pt idx="12">
                  <c:v>0.015917640878642537</c:v>
                </c:pt>
                <c:pt idx="13">
                  <c:v>0.015917640878642537</c:v>
                </c:pt>
                <c:pt idx="14">
                  <c:v>0.015917640878642537</c:v>
                </c:pt>
                <c:pt idx="15">
                  <c:v>0.015917640878642537</c:v>
                </c:pt>
                <c:pt idx="16">
                  <c:v>0.015917640878642537</c:v>
                </c:pt>
                <c:pt idx="17">
                  <c:v>0.015917640878642537</c:v>
                </c:pt>
                <c:pt idx="18">
                  <c:v>0.015917640878642537</c:v>
                </c:pt>
                <c:pt idx="19">
                  <c:v>0.015917640878642537</c:v>
                </c:pt>
              </c:numCache>
            </c:numRef>
          </c:val>
          <c:smooth val="0"/>
        </c:ser>
        <c:ser>
          <c:idx val="7"/>
          <c:order val="7"/>
          <c:tx>
            <c:v>Projected physical capital</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projection'!$M$30:$M$49</c:f>
              <c:numCache>
                <c:ptCount val="20"/>
                <c:pt idx="8">
                  <c:v>0.019781877403451522</c:v>
                </c:pt>
                <c:pt idx="9">
                  <c:v>0.013689126522709883</c:v>
                </c:pt>
                <c:pt idx="10">
                  <c:v>0.013689126522709883</c:v>
                </c:pt>
                <c:pt idx="11">
                  <c:v>0.013689126522709948</c:v>
                </c:pt>
                <c:pt idx="12">
                  <c:v>0.013689126522709883</c:v>
                </c:pt>
                <c:pt idx="13">
                  <c:v>0.013689126522709883</c:v>
                </c:pt>
                <c:pt idx="14">
                  <c:v>0.013689126522709883</c:v>
                </c:pt>
                <c:pt idx="15">
                  <c:v>0.013689126522709883</c:v>
                </c:pt>
                <c:pt idx="16">
                  <c:v>0.013689126522709883</c:v>
                </c:pt>
                <c:pt idx="17">
                  <c:v>0.013689126522709883</c:v>
                </c:pt>
                <c:pt idx="18">
                  <c:v>0.013689126522709883</c:v>
                </c:pt>
                <c:pt idx="19">
                  <c:v>0.013689126522709883</c:v>
                </c:pt>
              </c:numCache>
            </c:numRef>
          </c:val>
          <c:smooth val="0"/>
        </c:ser>
        <c:ser>
          <c:idx val="8"/>
          <c:order val="8"/>
          <c:tx>
            <c:v>Past GDP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val>
            <c:numRef>
              <c:f>'growth accounting projection'!$K$6:$K$25</c:f>
              <c:numCache>
                <c:ptCount val="20"/>
                <c:pt idx="0">
                  <c:v>0.05318240437749037</c:v>
                </c:pt>
                <c:pt idx="1">
                  <c:v>0.041010552577423975</c:v>
                </c:pt>
                <c:pt idx="2">
                  <c:v>0.036834738894857506</c:v>
                </c:pt>
                <c:pt idx="3">
                  <c:v>0.04776990834483514</c:v>
                </c:pt>
                <c:pt idx="4">
                  <c:v>0.035395308215083666</c:v>
                </c:pt>
                <c:pt idx="5">
                  <c:v>0.05597840790363371</c:v>
                </c:pt>
                <c:pt idx="6">
                  <c:v>0.03925275812696079</c:v>
                </c:pt>
                <c:pt idx="7">
                  <c:v>0.026413462757660985</c:v>
                </c:pt>
                <c:pt idx="8">
                  <c:v>0.033393312797279556</c:v>
                </c:pt>
              </c:numCache>
            </c:numRef>
          </c:val>
          <c:smooth val="0"/>
        </c:ser>
        <c:ser>
          <c:idx val="9"/>
          <c:order val="9"/>
          <c:tx>
            <c:v>Projected GDP</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val>
            <c:numRef>
              <c:f>'growth accounting projection'!$K$30:$K$49</c:f>
              <c:numCache>
                <c:ptCount val="20"/>
                <c:pt idx="8">
                  <c:v>0.033393312797279556</c:v>
                </c:pt>
                <c:pt idx="9">
                  <c:v>0.035833608089581144</c:v>
                </c:pt>
                <c:pt idx="10">
                  <c:v>0.03583360808958111</c:v>
                </c:pt>
                <c:pt idx="11">
                  <c:v>0.03583360808958114</c:v>
                </c:pt>
                <c:pt idx="12">
                  <c:v>0.035833608089581186</c:v>
                </c:pt>
                <c:pt idx="13">
                  <c:v>0.03583360808958112</c:v>
                </c:pt>
                <c:pt idx="14">
                  <c:v>0.03583360808958116</c:v>
                </c:pt>
                <c:pt idx="15">
                  <c:v>0.0358336080895811</c:v>
                </c:pt>
                <c:pt idx="16">
                  <c:v>0.03583360808958118</c:v>
                </c:pt>
                <c:pt idx="17">
                  <c:v>0.035833608089581206</c:v>
                </c:pt>
                <c:pt idx="18">
                  <c:v>0.03583360808958113</c:v>
                </c:pt>
                <c:pt idx="19">
                  <c:v>0.035833608089581144</c:v>
                </c:pt>
              </c:numCache>
            </c:numRef>
          </c:val>
          <c:smooth val="0"/>
        </c:ser>
        <c:axId val="54293253"/>
        <c:axId val="18877230"/>
      </c:lineChart>
      <c:catAx>
        <c:axId val="54293253"/>
        <c:scaling>
          <c:orientation val="minMax"/>
        </c:scaling>
        <c:axPos val="b"/>
        <c:delete val="0"/>
        <c:numFmt formatCode="General" sourceLinked="1"/>
        <c:majorTickMark val="out"/>
        <c:minorTickMark val="none"/>
        <c:tickLblPos val="nextTo"/>
        <c:crossAx val="18877230"/>
        <c:crosses val="autoZero"/>
        <c:auto val="1"/>
        <c:lblOffset val="100"/>
        <c:tickLblSkip val="2"/>
        <c:noMultiLvlLbl val="0"/>
      </c:catAx>
      <c:valAx>
        <c:axId val="18877230"/>
        <c:scaling>
          <c:orientation val="minMax"/>
          <c:max val="0.06"/>
          <c:min val="-0.01"/>
        </c:scaling>
        <c:axPos val="l"/>
        <c:title>
          <c:tx>
            <c:rich>
              <a:bodyPr vert="horz" rot="-5400000" anchor="ctr"/>
              <a:lstStyle/>
              <a:p>
                <a:pPr algn="ctr">
                  <a:defRPr/>
                </a:pPr>
                <a:r>
                  <a:rPr lang="en-US"/>
                  <a:t>Contribution to annual GDP growth rate</a:t>
                </a:r>
              </a:p>
            </c:rich>
          </c:tx>
          <c:layout>
            <c:manualLayout>
              <c:xMode val="factor"/>
              <c:yMode val="factor"/>
              <c:x val="-0.0055"/>
              <c:y val="0"/>
            </c:manualLayout>
          </c:layout>
          <c:overlay val="0"/>
          <c:spPr>
            <a:noFill/>
            <a:ln>
              <a:noFill/>
            </a:ln>
          </c:spPr>
        </c:title>
        <c:delete val="0"/>
        <c:numFmt formatCode="0.00" sourceLinked="0"/>
        <c:majorTickMark val="out"/>
        <c:minorTickMark val="none"/>
        <c:tickLblPos val="nextTo"/>
        <c:crossAx val="54293253"/>
        <c:crossesAt val="1"/>
        <c:crossBetween val="midCat"/>
        <c:dispUnits/>
        <c:majorUnit val="0.01"/>
      </c:valAx>
      <c:spPr>
        <a:noFill/>
        <a:ln>
          <a:noFill/>
        </a:ln>
      </c:spPr>
    </c:plotArea>
    <c:legend>
      <c:legendPos val="r"/>
      <c:layout>
        <c:manualLayout>
          <c:xMode val="edge"/>
          <c:yMode val="edge"/>
          <c:x val="0.47775"/>
          <c:y val="0"/>
          <c:w val="0.4905"/>
          <c:h val="0.3132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Past TFP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projection'!$J$6:$J$25</c:f>
              <c:numCache>
                <c:ptCount val="20"/>
                <c:pt idx="0">
                  <c:v>0.03281548443577432</c:v>
                </c:pt>
                <c:pt idx="1">
                  <c:v>0.012121465720113717</c:v>
                </c:pt>
                <c:pt idx="2">
                  <c:v>0.022292115265500286</c:v>
                </c:pt>
                <c:pt idx="3">
                  <c:v>0.017954344675693994</c:v>
                </c:pt>
                <c:pt idx="4">
                  <c:v>-0.003666666534414123</c:v>
                </c:pt>
                <c:pt idx="5">
                  <c:v>0.005232166099968466</c:v>
                </c:pt>
                <c:pt idx="6">
                  <c:v>-0.003873045586752653</c:v>
                </c:pt>
                <c:pt idx="7">
                  <c:v>-0.008969417559880972</c:v>
                </c:pt>
                <c:pt idx="8">
                  <c:v>-4.8528240126077815E-05</c:v>
                </c:pt>
              </c:numCache>
            </c:numRef>
          </c:val>
          <c:smooth val="0"/>
        </c:ser>
        <c:ser>
          <c:idx val="1"/>
          <c:order val="1"/>
          <c:tx>
            <c:v>Past Labor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projection'!$L$6:$L$25</c:f>
              <c:numCache>
                <c:ptCount val="20"/>
                <c:pt idx="0">
                  <c:v>-0.002805614978277175</c:v>
                </c:pt>
                <c:pt idx="1">
                  <c:v>0.007252182607323021</c:v>
                </c:pt>
                <c:pt idx="2">
                  <c:v>-0.006823497432555865</c:v>
                </c:pt>
                <c:pt idx="3">
                  <c:v>-0.0036091413122362383</c:v>
                </c:pt>
                <c:pt idx="4">
                  <c:v>8.61485448138095E-05</c:v>
                </c:pt>
                <c:pt idx="5">
                  <c:v>0.008561750569888215</c:v>
                </c:pt>
                <c:pt idx="6">
                  <c:v>0.007785380058741212</c:v>
                </c:pt>
                <c:pt idx="7">
                  <c:v>0.0032587068383763715</c:v>
                </c:pt>
                <c:pt idx="8">
                  <c:v>-0.003725477249092594</c:v>
                </c:pt>
              </c:numCache>
            </c:numRef>
          </c:val>
          <c:smooth val="0"/>
        </c:ser>
        <c:ser>
          <c:idx val="2"/>
          <c:order val="2"/>
          <c:tx>
            <c:v>Past human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projection'!$N$6:$N$25</c:f>
              <c:numCache>
                <c:ptCount val="20"/>
                <c:pt idx="0">
                  <c:v>0.010345477648392552</c:v>
                </c:pt>
                <c:pt idx="1">
                  <c:v>0.005280663065951816</c:v>
                </c:pt>
                <c:pt idx="2">
                  <c:v>0.0031009269925751765</c:v>
                </c:pt>
                <c:pt idx="3">
                  <c:v>0.012036483471986336</c:v>
                </c:pt>
                <c:pt idx="4">
                  <c:v>0.016963004957112497</c:v>
                </c:pt>
                <c:pt idx="5">
                  <c:v>0.014025224581496238</c:v>
                </c:pt>
                <c:pt idx="6">
                  <c:v>0.011620837120156553</c:v>
                </c:pt>
                <c:pt idx="7">
                  <c:v>0.010329312368607874</c:v>
                </c:pt>
                <c:pt idx="8">
                  <c:v>0.016839993866761625</c:v>
                </c:pt>
              </c:numCache>
            </c:numRef>
          </c:val>
          <c:smooth val="0"/>
        </c:ser>
        <c:ser>
          <c:idx val="3"/>
          <c:order val="3"/>
          <c:tx>
            <c:v>Past physical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projection'!$M$6:$M$25</c:f>
              <c:numCache>
                <c:ptCount val="20"/>
                <c:pt idx="0">
                  <c:v>0.011461094574865677</c:v>
                </c:pt>
                <c:pt idx="1">
                  <c:v>0.015537615150047365</c:v>
                </c:pt>
                <c:pt idx="2">
                  <c:v>0.01760300710757192</c:v>
                </c:pt>
                <c:pt idx="3">
                  <c:v>0.020282321852021407</c:v>
                </c:pt>
                <c:pt idx="4">
                  <c:v>0.021400807133617836</c:v>
                </c:pt>
                <c:pt idx="5">
                  <c:v>0.0266485967627198</c:v>
                </c:pt>
                <c:pt idx="6">
                  <c:v>0.022968781514010345</c:v>
                </c:pt>
                <c:pt idx="7">
                  <c:v>0.02145204906868833</c:v>
                </c:pt>
                <c:pt idx="8">
                  <c:v>0.019781877403451522</c:v>
                </c:pt>
              </c:numCache>
            </c:numRef>
          </c:val>
          <c:smooth val="0"/>
        </c:ser>
        <c:ser>
          <c:idx val="4"/>
          <c:order val="4"/>
          <c:tx>
            <c:v>Projected TFP</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FFFF"/>
              </a:solid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projection'!$J$30:$J$49</c:f>
              <c:numCache>
                <c:ptCount val="20"/>
                <c:pt idx="8">
                  <c:v>-4.8528240126077815E-05</c:v>
                </c:pt>
                <c:pt idx="9">
                  <c:v>0.004760257181800065</c:v>
                </c:pt>
                <c:pt idx="10">
                  <c:v>0.004760257181800065</c:v>
                </c:pt>
                <c:pt idx="11">
                  <c:v>0.0047602571818000025</c:v>
                </c:pt>
                <c:pt idx="12">
                  <c:v>0.004760257181800065</c:v>
                </c:pt>
                <c:pt idx="13">
                  <c:v>0.004760257181800065</c:v>
                </c:pt>
                <c:pt idx="14">
                  <c:v>0.004760257181800065</c:v>
                </c:pt>
                <c:pt idx="15">
                  <c:v>0.004760257181800065</c:v>
                </c:pt>
                <c:pt idx="16">
                  <c:v>0.004760257181800065</c:v>
                </c:pt>
                <c:pt idx="17">
                  <c:v>0.004760257181800065</c:v>
                </c:pt>
                <c:pt idx="18">
                  <c:v>0.004760257181800065</c:v>
                </c:pt>
                <c:pt idx="19">
                  <c:v>0.004760257181800065</c:v>
                </c:pt>
              </c:numCache>
            </c:numRef>
          </c:val>
          <c:smooth val="0"/>
        </c:ser>
        <c:ser>
          <c:idx val="5"/>
          <c:order val="5"/>
          <c:tx>
            <c:v>Projected labor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projection'!$L$30:$L$49</c:f>
              <c:numCache>
                <c:ptCount val="20"/>
                <c:pt idx="8">
                  <c:v>-0.003725477249092594</c:v>
                </c:pt>
                <c:pt idx="9">
                  <c:v>0.0008394964028375308</c:v>
                </c:pt>
                <c:pt idx="10">
                  <c:v>0.0008394964028375308</c:v>
                </c:pt>
                <c:pt idx="11">
                  <c:v>0.0008394964028375308</c:v>
                </c:pt>
                <c:pt idx="12">
                  <c:v>0.0008394964028375308</c:v>
                </c:pt>
                <c:pt idx="13">
                  <c:v>0.0008394964028375308</c:v>
                </c:pt>
                <c:pt idx="14">
                  <c:v>0.0008394964028375308</c:v>
                </c:pt>
                <c:pt idx="15">
                  <c:v>0.0008394964028375308</c:v>
                </c:pt>
                <c:pt idx="16">
                  <c:v>0.0008394964028375308</c:v>
                </c:pt>
                <c:pt idx="17">
                  <c:v>0.0008394964028375308</c:v>
                </c:pt>
                <c:pt idx="18">
                  <c:v>0.0008394964028375308</c:v>
                </c:pt>
                <c:pt idx="19">
                  <c:v>0.0008394964028375308</c:v>
                </c:pt>
              </c:numCache>
            </c:numRef>
          </c:val>
          <c:smooth val="0"/>
        </c:ser>
        <c:ser>
          <c:idx val="6"/>
          <c:order val="6"/>
          <c:tx>
            <c:v>Projected human capital</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projection'!$N$30:$N$49</c:f>
              <c:numCache>
                <c:ptCount val="20"/>
                <c:pt idx="8">
                  <c:v>0.016839993866761625</c:v>
                </c:pt>
                <c:pt idx="9">
                  <c:v>0.015917640878642537</c:v>
                </c:pt>
                <c:pt idx="10">
                  <c:v>0.015917640878642537</c:v>
                </c:pt>
                <c:pt idx="11">
                  <c:v>0.015917640878642537</c:v>
                </c:pt>
                <c:pt idx="12">
                  <c:v>0.015917640878642537</c:v>
                </c:pt>
                <c:pt idx="13">
                  <c:v>0.015917640878642537</c:v>
                </c:pt>
                <c:pt idx="14">
                  <c:v>0.015917640878642537</c:v>
                </c:pt>
                <c:pt idx="15">
                  <c:v>0.015917640878642537</c:v>
                </c:pt>
                <c:pt idx="16">
                  <c:v>0.015917640878642537</c:v>
                </c:pt>
                <c:pt idx="17">
                  <c:v>0.015917640878642537</c:v>
                </c:pt>
                <c:pt idx="18">
                  <c:v>0.015917640878642537</c:v>
                </c:pt>
                <c:pt idx="19">
                  <c:v>0.015917640878642537</c:v>
                </c:pt>
              </c:numCache>
            </c:numRef>
          </c:val>
          <c:smooth val="0"/>
        </c:ser>
        <c:ser>
          <c:idx val="7"/>
          <c:order val="7"/>
          <c:tx>
            <c:v>Projected physical capital</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projection'!$M$30:$M$49</c:f>
              <c:numCache>
                <c:ptCount val="20"/>
                <c:pt idx="8">
                  <c:v>0.019781877403451522</c:v>
                </c:pt>
                <c:pt idx="9">
                  <c:v>0.013689126522709883</c:v>
                </c:pt>
                <c:pt idx="10">
                  <c:v>0.013689126522709883</c:v>
                </c:pt>
                <c:pt idx="11">
                  <c:v>0.013689126522709948</c:v>
                </c:pt>
                <c:pt idx="12">
                  <c:v>0.013689126522709883</c:v>
                </c:pt>
                <c:pt idx="13">
                  <c:v>0.013689126522709883</c:v>
                </c:pt>
                <c:pt idx="14">
                  <c:v>0.013689126522709883</c:v>
                </c:pt>
                <c:pt idx="15">
                  <c:v>0.013689126522709883</c:v>
                </c:pt>
                <c:pt idx="16">
                  <c:v>0.013689126522709883</c:v>
                </c:pt>
                <c:pt idx="17">
                  <c:v>0.013689126522709883</c:v>
                </c:pt>
                <c:pt idx="18">
                  <c:v>0.013689126522709883</c:v>
                </c:pt>
                <c:pt idx="19">
                  <c:v>0.013689126522709883</c:v>
                </c:pt>
              </c:numCache>
            </c:numRef>
          </c:val>
          <c:smooth val="0"/>
        </c:ser>
        <c:ser>
          <c:idx val="8"/>
          <c:order val="8"/>
          <c:tx>
            <c:v>Past GDP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val>
            <c:numRef>
              <c:f>'growth accounting projection'!$K$6:$K$25</c:f>
              <c:numCache>
                <c:ptCount val="20"/>
                <c:pt idx="0">
                  <c:v>0.05318240437749037</c:v>
                </c:pt>
                <c:pt idx="1">
                  <c:v>0.041010552577423975</c:v>
                </c:pt>
                <c:pt idx="2">
                  <c:v>0.036834738894857506</c:v>
                </c:pt>
                <c:pt idx="3">
                  <c:v>0.04776990834483514</c:v>
                </c:pt>
                <c:pt idx="4">
                  <c:v>0.035395308215083666</c:v>
                </c:pt>
                <c:pt idx="5">
                  <c:v>0.05597840790363371</c:v>
                </c:pt>
                <c:pt idx="6">
                  <c:v>0.03925275812696079</c:v>
                </c:pt>
                <c:pt idx="7">
                  <c:v>0.026413462757660985</c:v>
                </c:pt>
                <c:pt idx="8">
                  <c:v>0.033393312797279556</c:v>
                </c:pt>
              </c:numCache>
            </c:numRef>
          </c:val>
          <c:smooth val="0"/>
        </c:ser>
        <c:ser>
          <c:idx val="9"/>
          <c:order val="9"/>
          <c:tx>
            <c:v>Projected GDP</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val>
            <c:numRef>
              <c:f>'growth accounting projection'!$K$30:$K$49</c:f>
              <c:numCache>
                <c:ptCount val="20"/>
                <c:pt idx="8">
                  <c:v>0.033393312797279556</c:v>
                </c:pt>
                <c:pt idx="9">
                  <c:v>0.035833608089581144</c:v>
                </c:pt>
                <c:pt idx="10">
                  <c:v>0.03583360808958111</c:v>
                </c:pt>
                <c:pt idx="11">
                  <c:v>0.03583360808958114</c:v>
                </c:pt>
                <c:pt idx="12">
                  <c:v>0.035833608089581186</c:v>
                </c:pt>
                <c:pt idx="13">
                  <c:v>0.03583360808958112</c:v>
                </c:pt>
                <c:pt idx="14">
                  <c:v>0.03583360808958116</c:v>
                </c:pt>
                <c:pt idx="15">
                  <c:v>0.0358336080895811</c:v>
                </c:pt>
                <c:pt idx="16">
                  <c:v>0.03583360808958118</c:v>
                </c:pt>
                <c:pt idx="17">
                  <c:v>0.035833608089581206</c:v>
                </c:pt>
                <c:pt idx="18">
                  <c:v>0.03583360808958113</c:v>
                </c:pt>
                <c:pt idx="19">
                  <c:v>0.035833608089581144</c:v>
                </c:pt>
              </c:numCache>
            </c:numRef>
          </c:val>
          <c:smooth val="0"/>
        </c:ser>
        <c:axId val="35677343"/>
        <c:axId val="52660632"/>
      </c:lineChart>
      <c:catAx>
        <c:axId val="35677343"/>
        <c:scaling>
          <c:orientation val="minMax"/>
        </c:scaling>
        <c:axPos val="b"/>
        <c:delete val="0"/>
        <c:numFmt formatCode="General" sourceLinked="1"/>
        <c:majorTickMark val="out"/>
        <c:minorTickMark val="none"/>
        <c:tickLblPos val="nextTo"/>
        <c:crossAx val="52660632"/>
        <c:crosses val="autoZero"/>
        <c:auto val="1"/>
        <c:lblOffset val="100"/>
        <c:tickLblSkip val="2"/>
        <c:noMultiLvlLbl val="0"/>
      </c:catAx>
      <c:valAx>
        <c:axId val="52660632"/>
        <c:scaling>
          <c:orientation val="minMax"/>
          <c:max val="0.06"/>
        </c:scaling>
        <c:axPos val="l"/>
        <c:title>
          <c:tx>
            <c:rich>
              <a:bodyPr vert="horz" rot="-5400000" anchor="ctr"/>
              <a:lstStyle/>
              <a:p>
                <a:pPr algn="ctr">
                  <a:defRPr/>
                </a:pPr>
                <a:r>
                  <a:rPr lang="en-US" cap="none" sz="1000" b="1" i="0" u="none" baseline="0">
                    <a:latin typeface="Arial"/>
                    <a:ea typeface="Arial"/>
                    <a:cs typeface="Arial"/>
                  </a:rPr>
                  <a:t>Contribution to annual GDP growth rate</a:t>
                </a:r>
              </a:p>
            </c:rich>
          </c:tx>
          <c:layout/>
          <c:overlay val="0"/>
          <c:spPr>
            <a:noFill/>
            <a:ln>
              <a:noFill/>
            </a:ln>
          </c:spPr>
        </c:title>
        <c:delete val="0"/>
        <c:numFmt formatCode="0.00" sourceLinked="0"/>
        <c:majorTickMark val="out"/>
        <c:minorTickMark val="none"/>
        <c:tickLblPos val="nextTo"/>
        <c:crossAx val="35677343"/>
        <c:crossesAt val="1"/>
        <c:crossBetween val="midCat"/>
        <c:dispUnits/>
        <c:majorUnit val="0.01"/>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v>capital</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xVal>
            <c:numRef>
              <c:f>'projected wages'!$AL$17:$AL$26</c:f>
              <c:numCache>
                <c:ptCount val="10"/>
                <c:pt idx="0">
                  <c:v>0</c:v>
                </c:pt>
                <c:pt idx="1">
                  <c:v>0</c:v>
                </c:pt>
                <c:pt idx="2">
                  <c:v>0</c:v>
                </c:pt>
                <c:pt idx="3">
                  <c:v>0</c:v>
                </c:pt>
                <c:pt idx="4">
                  <c:v>0</c:v>
                </c:pt>
                <c:pt idx="5">
                  <c:v>0</c:v>
                </c:pt>
                <c:pt idx="6">
                  <c:v>0</c:v>
                </c:pt>
                <c:pt idx="7">
                  <c:v>0</c:v>
                </c:pt>
                <c:pt idx="8">
                  <c:v>0</c:v>
                </c:pt>
                <c:pt idx="9">
                  <c:v>0</c:v>
                </c:pt>
              </c:numCache>
            </c:numRef>
          </c:xVal>
          <c:yVal>
            <c:numRef>
              <c:f>'projected wages'!$AM$17:$AM$26</c:f>
              <c:numCache>
                <c:ptCount val="10"/>
                <c:pt idx="0">
                  <c:v>0</c:v>
                </c:pt>
                <c:pt idx="1">
                  <c:v>0</c:v>
                </c:pt>
                <c:pt idx="2">
                  <c:v>0</c:v>
                </c:pt>
                <c:pt idx="3">
                  <c:v>0</c:v>
                </c:pt>
                <c:pt idx="4">
                  <c:v>0</c:v>
                </c:pt>
                <c:pt idx="5">
                  <c:v>0</c:v>
                </c:pt>
                <c:pt idx="6">
                  <c:v>0</c:v>
                </c:pt>
                <c:pt idx="7">
                  <c:v>0</c:v>
                </c:pt>
                <c:pt idx="8">
                  <c:v>0</c:v>
                </c:pt>
                <c:pt idx="9">
                  <c:v>0</c:v>
                </c:pt>
              </c:numCache>
            </c:numRef>
          </c:yVal>
          <c:smooth val="0"/>
        </c:ser>
        <c:axId val="4183641"/>
        <c:axId val="37652770"/>
      </c:scatterChart>
      <c:valAx>
        <c:axId val="4183641"/>
        <c:scaling>
          <c:orientation val="minMax"/>
        </c:scaling>
        <c:axPos val="b"/>
        <c:delete val="0"/>
        <c:numFmt formatCode="General" sourceLinked="1"/>
        <c:majorTickMark val="out"/>
        <c:minorTickMark val="none"/>
        <c:tickLblPos val="nextTo"/>
        <c:crossAx val="37652770"/>
        <c:crosses val="autoZero"/>
        <c:crossBetween val="midCat"/>
        <c:dispUnits/>
      </c:valAx>
      <c:valAx>
        <c:axId val="37652770"/>
        <c:scaling>
          <c:orientation val="minMax"/>
        </c:scaling>
        <c:axPos val="l"/>
        <c:delete val="0"/>
        <c:numFmt formatCode="General" sourceLinked="1"/>
        <c:majorTickMark val="out"/>
        <c:minorTickMark val="none"/>
        <c:tickLblPos val="nextTo"/>
        <c:crossAx val="4183641"/>
        <c:crosses val="autoZero"/>
        <c:crossBetween val="midCat"/>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38"/>
          <c:w val="0.93275"/>
          <c:h val="0.962"/>
        </c:manualLayout>
      </c:layout>
      <c:lineChart>
        <c:grouping val="standard"/>
        <c:varyColors val="0"/>
        <c:ser>
          <c:idx val="1"/>
          <c:order val="0"/>
          <c:tx>
            <c:v>Past wage high-/low-skilled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'projection CES-weighted comp'!$A$8:$A$28</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'projection CES-weighted comp'!$P$8:$P$28</c:f>
              <c:numCache>
                <c:ptCount val="21"/>
                <c:pt idx="0">
                  <c:v>1.8669871182803957</c:v>
                </c:pt>
                <c:pt idx="1">
                  <c:v>1.8979368195283015</c:v>
                </c:pt>
                <c:pt idx="2">
                  <c:v>1.858270381203828</c:v>
                </c:pt>
                <c:pt idx="3">
                  <c:v>1.84113500808426</c:v>
                </c:pt>
                <c:pt idx="4">
                  <c:v>2.06036379615491</c:v>
                </c:pt>
                <c:pt idx="5">
                  <c:v>2.2831269944251007</c:v>
                </c:pt>
                <c:pt idx="6">
                  <c:v>1.9384664714995343</c:v>
                </c:pt>
                <c:pt idx="7">
                  <c:v>1.8966932540167463</c:v>
                </c:pt>
                <c:pt idx="8">
                  <c:v>1.920579297790927</c:v>
                </c:pt>
                <c:pt idx="9">
                  <c:v>2.047016999888647</c:v>
                </c:pt>
              </c:numCache>
            </c:numRef>
          </c:val>
          <c:smooth val="0"/>
        </c:ser>
        <c:ser>
          <c:idx val="0"/>
          <c:order val="1"/>
          <c:tx>
            <c:v>Projected wage high-/low-skilled (left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'projection CES-weighted comp'!$A$8:$A$28</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'projection CES-weighted comp'!$O$8:$O$28</c:f>
              <c:numCache>
                <c:ptCount val="21"/>
                <c:pt idx="9">
                  <c:v>2.047016999888647</c:v>
                </c:pt>
                <c:pt idx="10">
                  <c:v>1.9707077093811243</c:v>
                </c:pt>
                <c:pt idx="11">
                  <c:v>1.9390807500198788</c:v>
                </c:pt>
                <c:pt idx="12">
                  <c:v>1.9073582963095557</c:v>
                </c:pt>
                <c:pt idx="13">
                  <c:v>1.8755250911559551</c:v>
                </c:pt>
                <c:pt idx="14">
                  <c:v>1.8435651868513483</c:v>
                </c:pt>
                <c:pt idx="15">
                  <c:v>1.811461887935935</c:v>
                </c:pt>
                <c:pt idx="16">
                  <c:v>1.7791976876636497</c:v>
                </c:pt>
                <c:pt idx="17">
                  <c:v>1.746754197136376</c:v>
                </c:pt>
                <c:pt idx="18">
                  <c:v>1.7141120660017506</c:v>
                </c:pt>
                <c:pt idx="19">
                  <c:v>1.6812508934041668</c:v>
                </c:pt>
                <c:pt idx="20">
                  <c:v>1.6481491276273836</c:v>
                </c:pt>
              </c:numCache>
            </c:numRef>
          </c:val>
          <c:smooth val="0"/>
        </c:ser>
        <c:axId val="3330611"/>
        <c:axId val="29975500"/>
      </c:lineChart>
      <c:lineChart>
        <c:grouping val="standard"/>
        <c:varyColors val="0"/>
        <c:ser>
          <c:idx val="2"/>
          <c:order val="2"/>
          <c:tx>
            <c:v>Past growth rates of real wages (right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val>
            <c:numRef>
              <c:f>'projected wages'!$D$6:$D$26</c:f>
              <c:numCache>
                <c:ptCount val="21"/>
                <c:pt idx="1">
                  <c:v>0.035304501323918804</c:v>
                </c:pt>
                <c:pt idx="2">
                  <c:v>0.04347826086956529</c:v>
                </c:pt>
                <c:pt idx="3">
                  <c:v>0.04983660130718949</c:v>
                </c:pt>
                <c:pt idx="4">
                  <c:v>0.0311284046692607</c:v>
                </c:pt>
                <c:pt idx="5">
                  <c:v>0.01509433962264151</c:v>
                </c:pt>
                <c:pt idx="6">
                  <c:v>0.03197026022304841</c:v>
                </c:pt>
                <c:pt idx="7">
                  <c:v>0.015850144092218937</c:v>
                </c:pt>
                <c:pt idx="8">
                  <c:v>0.03262411347517726</c:v>
                </c:pt>
                <c:pt idx="9">
                  <c:v>0.020604395604395604</c:v>
                </c:pt>
              </c:numCache>
            </c:numRef>
          </c:val>
          <c:smooth val="0"/>
        </c:ser>
        <c:ser>
          <c:idx val="3"/>
          <c:order val="3"/>
          <c:tx>
            <c:v>Projected growth rates of real wages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val>
            <c:numRef>
              <c:f>'projected wages'!$E$6:$E$26</c:f>
              <c:numCache>
                <c:ptCount val="21"/>
                <c:pt idx="9">
                  <c:v>0.020604395604395604</c:v>
                </c:pt>
                <c:pt idx="10">
                  <c:v>0.0346336080895812</c:v>
                </c:pt>
                <c:pt idx="11">
                  <c:v>0.0346336080895812</c:v>
                </c:pt>
                <c:pt idx="12">
                  <c:v>0.0346336080895812</c:v>
                </c:pt>
                <c:pt idx="13">
                  <c:v>0.0346336080895812</c:v>
                </c:pt>
                <c:pt idx="14">
                  <c:v>0.0346336080895812</c:v>
                </c:pt>
                <c:pt idx="15">
                  <c:v>0.0346336080895812</c:v>
                </c:pt>
                <c:pt idx="16">
                  <c:v>0.0346336080895812</c:v>
                </c:pt>
                <c:pt idx="17">
                  <c:v>0.0346336080895812</c:v>
                </c:pt>
                <c:pt idx="18">
                  <c:v>0.0346336080895812</c:v>
                </c:pt>
                <c:pt idx="19">
                  <c:v>0.0346336080895812</c:v>
                </c:pt>
                <c:pt idx="20">
                  <c:v>0.0346336080895812</c:v>
                </c:pt>
              </c:numCache>
            </c:numRef>
          </c:val>
          <c:smooth val="0"/>
        </c:ser>
        <c:axId val="1344045"/>
        <c:axId val="12096406"/>
      </c:lineChart>
      <c:catAx>
        <c:axId val="3330611"/>
        <c:scaling>
          <c:orientation val="minMax"/>
        </c:scaling>
        <c:axPos val="b"/>
        <c:delete val="0"/>
        <c:numFmt formatCode="General" sourceLinked="1"/>
        <c:majorTickMark val="out"/>
        <c:minorTickMark val="none"/>
        <c:tickLblPos val="nextTo"/>
        <c:crossAx val="29975500"/>
        <c:crosses val="autoZero"/>
        <c:auto val="1"/>
        <c:lblOffset val="100"/>
        <c:tickLblSkip val="2"/>
        <c:noMultiLvlLbl val="0"/>
      </c:catAx>
      <c:valAx>
        <c:axId val="29975500"/>
        <c:scaling>
          <c:orientation val="minMax"/>
          <c:max val="2.3"/>
          <c:min val="1.6"/>
        </c:scaling>
        <c:axPos val="l"/>
        <c:title>
          <c:tx>
            <c:rich>
              <a:bodyPr vert="horz" rot="-5400000" anchor="ctr"/>
              <a:lstStyle/>
              <a:p>
                <a:pPr algn="ctr">
                  <a:defRPr/>
                </a:pPr>
                <a:r>
                  <a:rPr lang="en-US" cap="none" sz="675" b="0" i="0" u="none" baseline="0">
                    <a:latin typeface="Arial"/>
                    <a:ea typeface="Arial"/>
                    <a:cs typeface="Arial"/>
                  </a:rPr>
                  <a:t>Wages high-skilled/wages low-skilled</a:t>
                </a:r>
              </a:p>
            </c:rich>
          </c:tx>
          <c:layout>
            <c:manualLayout>
              <c:xMode val="factor"/>
              <c:yMode val="factor"/>
              <c:x val="-0.00225"/>
              <c:y val="0"/>
            </c:manualLayout>
          </c:layout>
          <c:overlay val="0"/>
          <c:spPr>
            <a:noFill/>
            <a:ln>
              <a:noFill/>
            </a:ln>
          </c:spPr>
        </c:title>
        <c:delete val="0"/>
        <c:numFmt formatCode="General" sourceLinked="1"/>
        <c:majorTickMark val="out"/>
        <c:minorTickMark val="none"/>
        <c:tickLblPos val="nextTo"/>
        <c:crossAx val="3330611"/>
        <c:crossesAt val="1"/>
        <c:crossBetween val="midCat"/>
        <c:dispUnits/>
        <c:majorUnit val="0.1"/>
      </c:valAx>
      <c:catAx>
        <c:axId val="1344045"/>
        <c:scaling>
          <c:orientation val="minMax"/>
        </c:scaling>
        <c:axPos val="b"/>
        <c:delete val="1"/>
        <c:majorTickMark val="in"/>
        <c:minorTickMark val="none"/>
        <c:tickLblPos val="nextTo"/>
        <c:crossAx val="12096406"/>
        <c:crosses val="autoZero"/>
        <c:auto val="1"/>
        <c:lblOffset val="100"/>
        <c:noMultiLvlLbl val="0"/>
      </c:catAx>
      <c:valAx>
        <c:axId val="12096406"/>
        <c:scaling>
          <c:orientation val="minMax"/>
          <c:max val="0.08"/>
          <c:min val="0"/>
        </c:scaling>
        <c:axPos val="l"/>
        <c:title>
          <c:tx>
            <c:rich>
              <a:bodyPr vert="horz" rot="-5400000" anchor="ctr"/>
              <a:lstStyle/>
              <a:p>
                <a:pPr algn="ctr">
                  <a:defRPr/>
                </a:pPr>
                <a:r>
                  <a:rPr lang="en-US"/>
                  <a:t>Annual growth rate</a:t>
                </a:r>
              </a:p>
            </c:rich>
          </c:tx>
          <c:layout>
            <c:manualLayout>
              <c:xMode val="factor"/>
              <c:yMode val="factor"/>
              <c:x val="-0.00175"/>
              <c:y val="-0.00175"/>
            </c:manualLayout>
          </c:layout>
          <c:overlay val="0"/>
          <c:spPr>
            <a:noFill/>
            <a:ln>
              <a:noFill/>
            </a:ln>
          </c:spPr>
        </c:title>
        <c:delete val="0"/>
        <c:numFmt formatCode="0.00" sourceLinked="0"/>
        <c:majorTickMark val="in"/>
        <c:minorTickMark val="none"/>
        <c:tickLblPos val="nextTo"/>
        <c:crossAx val="1344045"/>
        <c:crosses val="max"/>
        <c:crossBetween val="midCat"/>
        <c:dispUnits/>
        <c:minorUnit val="0.01"/>
      </c:valAx>
      <c:spPr>
        <a:noFill/>
        <a:ln>
          <a:noFill/>
        </a:ln>
      </c:spPr>
    </c:plotArea>
    <c:legend>
      <c:legendPos val="r"/>
      <c:layout>
        <c:manualLayout>
          <c:xMode val="edge"/>
          <c:yMode val="edge"/>
          <c:x val="0.39175"/>
          <c:y val="0"/>
          <c:w val="0.42525"/>
          <c:h val="0.3245"/>
        </c:manualLayout>
      </c:layout>
      <c:overlay val="0"/>
      <c:spPr>
        <a:ln w="3175">
          <a:noFill/>
        </a:ln>
      </c:spPr>
    </c:legend>
    <c:plotVisOnly val="1"/>
    <c:dispBlanksAs val="gap"/>
    <c:showDLblsOverMax val="0"/>
  </c:chart>
  <c:spPr>
    <a:noFill/>
    <a:ln>
      <a:noFill/>
    </a:ln>
  </c:spPr>
  <c:txPr>
    <a:bodyPr vert="horz" rot="0"/>
    <a:lstStyle/>
    <a:p>
      <a:pPr>
        <a:defRPr lang="en-US" cap="none" sz="6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Past wage high-skilled/wage low-skilled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'projection CES-weighted comp'!$A$8:$A$28</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'projection CES-weighted comp'!$P$8:$P$28</c:f>
              <c:numCache>
                <c:ptCount val="21"/>
                <c:pt idx="0">
                  <c:v>1.8669871182803957</c:v>
                </c:pt>
                <c:pt idx="1">
                  <c:v>1.8979368195283015</c:v>
                </c:pt>
                <c:pt idx="2">
                  <c:v>1.858270381203828</c:v>
                </c:pt>
                <c:pt idx="3">
                  <c:v>1.84113500808426</c:v>
                </c:pt>
                <c:pt idx="4">
                  <c:v>2.06036379615491</c:v>
                </c:pt>
                <c:pt idx="5">
                  <c:v>2.2831269944251007</c:v>
                </c:pt>
                <c:pt idx="6">
                  <c:v>1.9384664714995343</c:v>
                </c:pt>
                <c:pt idx="7">
                  <c:v>1.8966932540167463</c:v>
                </c:pt>
                <c:pt idx="8">
                  <c:v>1.920579297790927</c:v>
                </c:pt>
                <c:pt idx="9">
                  <c:v>2.047016999888647</c:v>
                </c:pt>
              </c:numCache>
            </c:numRef>
          </c:val>
          <c:smooth val="0"/>
        </c:ser>
        <c:ser>
          <c:idx val="0"/>
          <c:order val="1"/>
          <c:tx>
            <c:v>Projected wage high-skilled/wage low-skilled (left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'projection CES-weighted comp'!$A$8:$A$28</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'projection CES-weighted comp'!$O$8:$O$28</c:f>
              <c:numCache>
                <c:ptCount val="21"/>
                <c:pt idx="9">
                  <c:v>2.047016999888647</c:v>
                </c:pt>
                <c:pt idx="10">
                  <c:v>1.9707077093811243</c:v>
                </c:pt>
                <c:pt idx="11">
                  <c:v>1.9390807500198788</c:v>
                </c:pt>
                <c:pt idx="12">
                  <c:v>1.9073582963095557</c:v>
                </c:pt>
                <c:pt idx="13">
                  <c:v>1.8755250911559551</c:v>
                </c:pt>
                <c:pt idx="14">
                  <c:v>1.8435651868513483</c:v>
                </c:pt>
                <c:pt idx="15">
                  <c:v>1.811461887935935</c:v>
                </c:pt>
                <c:pt idx="16">
                  <c:v>1.7791976876636497</c:v>
                </c:pt>
                <c:pt idx="17">
                  <c:v>1.746754197136376</c:v>
                </c:pt>
                <c:pt idx="18">
                  <c:v>1.7141120660017506</c:v>
                </c:pt>
                <c:pt idx="19">
                  <c:v>1.6812508934041668</c:v>
                </c:pt>
                <c:pt idx="20">
                  <c:v>1.6481491276273836</c:v>
                </c:pt>
              </c:numCache>
            </c:numRef>
          </c:val>
          <c:smooth val="0"/>
        </c:ser>
        <c:axId val="41758791"/>
        <c:axId val="40284800"/>
      </c:lineChart>
      <c:lineChart>
        <c:grouping val="standard"/>
        <c:varyColors val="0"/>
        <c:ser>
          <c:idx val="2"/>
          <c:order val="2"/>
          <c:tx>
            <c:v>Past growth rates of real wages (right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val>
            <c:numRef>
              <c:f>'projected wages'!$D$6:$D$26</c:f>
              <c:numCache>
                <c:ptCount val="21"/>
                <c:pt idx="1">
                  <c:v>0.035304501323918804</c:v>
                </c:pt>
                <c:pt idx="2">
                  <c:v>0.04347826086956529</c:v>
                </c:pt>
                <c:pt idx="3">
                  <c:v>0.04983660130718949</c:v>
                </c:pt>
                <c:pt idx="4">
                  <c:v>0.0311284046692607</c:v>
                </c:pt>
                <c:pt idx="5">
                  <c:v>0.01509433962264151</c:v>
                </c:pt>
                <c:pt idx="6">
                  <c:v>0.03197026022304841</c:v>
                </c:pt>
                <c:pt idx="7">
                  <c:v>0.015850144092218937</c:v>
                </c:pt>
                <c:pt idx="8">
                  <c:v>0.03262411347517726</c:v>
                </c:pt>
                <c:pt idx="9">
                  <c:v>0.020604395604395604</c:v>
                </c:pt>
              </c:numCache>
            </c:numRef>
          </c:val>
          <c:smooth val="0"/>
        </c:ser>
        <c:ser>
          <c:idx val="3"/>
          <c:order val="3"/>
          <c:tx>
            <c:v>Projected growth rates of real wages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val>
            <c:numRef>
              <c:f>'projected wages'!$E$6:$E$26</c:f>
              <c:numCache>
                <c:ptCount val="21"/>
                <c:pt idx="9">
                  <c:v>0.020604395604395604</c:v>
                </c:pt>
                <c:pt idx="10">
                  <c:v>0.0346336080895812</c:v>
                </c:pt>
                <c:pt idx="11">
                  <c:v>0.0346336080895812</c:v>
                </c:pt>
                <c:pt idx="12">
                  <c:v>0.0346336080895812</c:v>
                </c:pt>
                <c:pt idx="13">
                  <c:v>0.0346336080895812</c:v>
                </c:pt>
                <c:pt idx="14">
                  <c:v>0.0346336080895812</c:v>
                </c:pt>
                <c:pt idx="15">
                  <c:v>0.0346336080895812</c:v>
                </c:pt>
                <c:pt idx="16">
                  <c:v>0.0346336080895812</c:v>
                </c:pt>
                <c:pt idx="17">
                  <c:v>0.0346336080895812</c:v>
                </c:pt>
                <c:pt idx="18">
                  <c:v>0.0346336080895812</c:v>
                </c:pt>
                <c:pt idx="19">
                  <c:v>0.0346336080895812</c:v>
                </c:pt>
                <c:pt idx="20">
                  <c:v>0.0346336080895812</c:v>
                </c:pt>
              </c:numCache>
            </c:numRef>
          </c:val>
          <c:smooth val="0"/>
        </c:ser>
        <c:axId val="27018881"/>
        <c:axId val="41843338"/>
      </c:lineChart>
      <c:catAx>
        <c:axId val="41758791"/>
        <c:scaling>
          <c:orientation val="minMax"/>
        </c:scaling>
        <c:axPos val="b"/>
        <c:delete val="0"/>
        <c:numFmt formatCode="General" sourceLinked="1"/>
        <c:majorTickMark val="out"/>
        <c:minorTickMark val="none"/>
        <c:tickLblPos val="nextTo"/>
        <c:crossAx val="40284800"/>
        <c:crosses val="autoZero"/>
        <c:auto val="1"/>
        <c:lblOffset val="100"/>
        <c:tickLblSkip val="2"/>
        <c:noMultiLvlLbl val="0"/>
      </c:catAx>
      <c:valAx>
        <c:axId val="40284800"/>
        <c:scaling>
          <c:orientation val="minMax"/>
          <c:max val="2.4"/>
          <c:min val="1.5"/>
        </c:scaling>
        <c:axPos val="l"/>
        <c:title>
          <c:tx>
            <c:rich>
              <a:bodyPr vert="horz" rot="-5400000" anchor="ctr"/>
              <a:lstStyle/>
              <a:p>
                <a:pPr algn="ctr">
                  <a:defRPr/>
                </a:pPr>
                <a:r>
                  <a:rPr lang="en-US" cap="none" sz="1000" b="1" i="0" u="none" baseline="0">
                    <a:latin typeface="Arial"/>
                    <a:ea typeface="Arial"/>
                    <a:cs typeface="Arial"/>
                  </a:rPr>
                  <a:t>wages high-skilled/wages low-skilled</a:t>
                </a:r>
              </a:p>
            </c:rich>
          </c:tx>
          <c:layout/>
          <c:overlay val="0"/>
          <c:spPr>
            <a:noFill/>
            <a:ln>
              <a:noFill/>
            </a:ln>
          </c:spPr>
        </c:title>
        <c:delete val="0"/>
        <c:numFmt formatCode="General" sourceLinked="1"/>
        <c:majorTickMark val="out"/>
        <c:minorTickMark val="none"/>
        <c:tickLblPos val="nextTo"/>
        <c:crossAx val="41758791"/>
        <c:crossesAt val="1"/>
        <c:crossBetween val="midCat"/>
        <c:dispUnits/>
        <c:majorUnit val="0.1"/>
      </c:valAx>
      <c:catAx>
        <c:axId val="27018881"/>
        <c:scaling>
          <c:orientation val="minMax"/>
        </c:scaling>
        <c:axPos val="b"/>
        <c:delete val="1"/>
        <c:majorTickMark val="in"/>
        <c:minorTickMark val="none"/>
        <c:tickLblPos val="nextTo"/>
        <c:crossAx val="41843338"/>
        <c:crosses val="autoZero"/>
        <c:auto val="1"/>
        <c:lblOffset val="100"/>
        <c:noMultiLvlLbl val="0"/>
      </c:catAx>
      <c:valAx>
        <c:axId val="41843338"/>
        <c:scaling>
          <c:orientation val="minMax"/>
          <c:max val="0.08"/>
          <c:min val="0"/>
        </c:scaling>
        <c:axPos val="l"/>
        <c:title>
          <c:tx>
            <c:rich>
              <a:bodyPr vert="horz" rot="-5400000" anchor="ctr"/>
              <a:lstStyle/>
              <a:p>
                <a:pPr algn="ctr">
                  <a:defRPr/>
                </a:pPr>
                <a:r>
                  <a:rPr lang="en-US" cap="none" sz="1000" b="1" i="0" u="none" baseline="0">
                    <a:latin typeface="Arial"/>
                    <a:ea typeface="Arial"/>
                    <a:cs typeface="Arial"/>
                  </a:rPr>
                  <a:t>Annual growth rate</a:t>
                </a:r>
              </a:p>
            </c:rich>
          </c:tx>
          <c:layout/>
          <c:overlay val="0"/>
          <c:spPr>
            <a:noFill/>
            <a:ln>
              <a:noFill/>
            </a:ln>
          </c:spPr>
        </c:title>
        <c:delete val="0"/>
        <c:numFmt formatCode="0.00" sourceLinked="0"/>
        <c:majorTickMark val="in"/>
        <c:minorTickMark val="none"/>
        <c:tickLblPos val="nextTo"/>
        <c:crossAx val="27018881"/>
        <c:crosses val="max"/>
        <c:crossBetween val="midCat"/>
        <c:dispUnits/>
        <c:minorUnit val="0.01"/>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v>capital</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xVal>
            <c:numRef>
              <c:f>'projected investment'!$AQ$17:$AQ$26</c:f>
              <c:numCache>
                <c:ptCount val="10"/>
                <c:pt idx="0">
                  <c:v>0</c:v>
                </c:pt>
                <c:pt idx="1">
                  <c:v>0</c:v>
                </c:pt>
                <c:pt idx="2">
                  <c:v>0</c:v>
                </c:pt>
                <c:pt idx="3">
                  <c:v>0</c:v>
                </c:pt>
                <c:pt idx="4">
                  <c:v>0</c:v>
                </c:pt>
                <c:pt idx="5">
                  <c:v>0</c:v>
                </c:pt>
                <c:pt idx="6">
                  <c:v>0</c:v>
                </c:pt>
                <c:pt idx="7">
                  <c:v>0</c:v>
                </c:pt>
                <c:pt idx="8">
                  <c:v>0</c:v>
                </c:pt>
                <c:pt idx="9">
                  <c:v>0</c:v>
                </c:pt>
              </c:numCache>
            </c:numRef>
          </c:xVal>
          <c:yVal>
            <c:numRef>
              <c:f>'projected investment'!$AR$17:$AR$26</c:f>
              <c:numCache>
                <c:ptCount val="10"/>
                <c:pt idx="0">
                  <c:v>0</c:v>
                </c:pt>
                <c:pt idx="1">
                  <c:v>0</c:v>
                </c:pt>
                <c:pt idx="2">
                  <c:v>0</c:v>
                </c:pt>
                <c:pt idx="3">
                  <c:v>0</c:v>
                </c:pt>
                <c:pt idx="4">
                  <c:v>0</c:v>
                </c:pt>
                <c:pt idx="5">
                  <c:v>0</c:v>
                </c:pt>
                <c:pt idx="6">
                  <c:v>0</c:v>
                </c:pt>
                <c:pt idx="7">
                  <c:v>0</c:v>
                </c:pt>
                <c:pt idx="8">
                  <c:v>0</c:v>
                </c:pt>
                <c:pt idx="9">
                  <c:v>0</c:v>
                </c:pt>
              </c:numCache>
            </c:numRef>
          </c:yVal>
          <c:smooth val="0"/>
        </c:ser>
        <c:axId val="41045723"/>
        <c:axId val="33867188"/>
      </c:scatterChart>
      <c:valAx>
        <c:axId val="41045723"/>
        <c:scaling>
          <c:orientation val="minMax"/>
        </c:scaling>
        <c:axPos val="b"/>
        <c:delete val="0"/>
        <c:numFmt formatCode="General" sourceLinked="1"/>
        <c:majorTickMark val="out"/>
        <c:minorTickMark val="none"/>
        <c:tickLblPos val="nextTo"/>
        <c:crossAx val="33867188"/>
        <c:crosses val="autoZero"/>
        <c:crossBetween val="midCat"/>
        <c:dispUnits/>
      </c:valAx>
      <c:valAx>
        <c:axId val="33867188"/>
        <c:scaling>
          <c:orientation val="minMax"/>
        </c:scaling>
        <c:axPos val="l"/>
        <c:delete val="0"/>
        <c:numFmt formatCode="General" sourceLinked="1"/>
        <c:majorTickMark val="out"/>
        <c:minorTickMark val="none"/>
        <c:tickLblPos val="nextTo"/>
        <c:crossAx val="41045723"/>
        <c:crosses val="autoZero"/>
        <c:crossBetween val="midCat"/>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
          <c:w val="0.931"/>
          <c:h val="1"/>
        </c:manualLayout>
      </c:layout>
      <c:lineChart>
        <c:grouping val="standard"/>
        <c:varyColors val="0"/>
        <c:ser>
          <c:idx val="0"/>
          <c:order val="0"/>
          <c:tx>
            <c:v>Employment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Employment!$A$5:$A$27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Employment!$E$5:$E$27</c:f>
              <c:numCache>
                <c:ptCount val="23"/>
                <c:pt idx="0">
                  <c:v>973.3576276915958</c:v>
                </c:pt>
                <c:pt idx="1">
                  <c:v>976.6039566333131</c:v>
                </c:pt>
                <c:pt idx="2">
                  <c:v>981.1488171517175</c:v>
                </c:pt>
                <c:pt idx="3">
                  <c:v>986.8839982820849</c:v>
                </c:pt>
                <c:pt idx="4">
                  <c:v>1003.7649087790153</c:v>
                </c:pt>
                <c:pt idx="5">
                  <c:v>1023.3510933940436</c:v>
                </c:pt>
                <c:pt idx="6">
                  <c:v>1041.530535467661</c:v>
                </c:pt>
                <c:pt idx="7">
                  <c:v>1049.3217249277825</c:v>
                </c:pt>
                <c:pt idx="8">
                  <c:v>1044.776864409378</c:v>
                </c:pt>
                <c:pt idx="9">
                  <c:v>1034.1721898664346</c:v>
                </c:pt>
                <c:pt idx="10">
                  <c:v>999.8693140489542</c:v>
                </c:pt>
                <c:pt idx="11">
                  <c:v>945.2227768633783</c:v>
                </c:pt>
                <c:pt idx="12">
                  <c:v>903.0205006210523</c:v>
                </c:pt>
                <c:pt idx="13">
                  <c:v>886.7661316098734</c:v>
                </c:pt>
                <c:pt idx="14">
                  <c:v>883.2190670834339</c:v>
                </c:pt>
                <c:pt idx="15">
                  <c:v>892.4170113007938</c:v>
                </c:pt>
                <c:pt idx="16">
                  <c:v>883.7601226256315</c:v>
                </c:pt>
                <c:pt idx="17">
                  <c:v>879.2152560711713</c:v>
                </c:pt>
                <c:pt idx="18">
                  <c:v>879.3234671796108</c:v>
                </c:pt>
                <c:pt idx="19">
                  <c:v>890.1445780235636</c:v>
                </c:pt>
                <c:pt idx="20">
                  <c:v>900.1</c:v>
                </c:pt>
                <c:pt idx="21">
                  <c:v>904.3</c:v>
                </c:pt>
                <c:pt idx="22">
                  <c:v>899.5</c:v>
                </c:pt>
              </c:numCache>
            </c:numRef>
          </c:val>
          <c:smooth val="0"/>
        </c:ser>
        <c:marker val="1"/>
        <c:axId val="16490907"/>
        <c:axId val="14200436"/>
      </c:lineChart>
      <c:lineChart>
        <c:grouping val="standard"/>
        <c:varyColors val="0"/>
        <c:ser>
          <c:idx val="1"/>
          <c:order val="1"/>
          <c:tx>
            <c:v>Growth rate of employment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Employment!$D$5:$D$27</c:f>
              <c:numCache>
                <c:ptCount val="23"/>
                <c:pt idx="1">
                  <c:v>0.0033351862145636346</c:v>
                </c:pt>
                <c:pt idx="2">
                  <c:v>0.004653739612188445</c:v>
                </c:pt>
                <c:pt idx="3">
                  <c:v>0.005845373331862902</c:v>
                </c:pt>
                <c:pt idx="4">
                  <c:v>0.017105263157894797</c:v>
                </c:pt>
                <c:pt idx="5">
                  <c:v>0.01951272100043127</c:v>
                </c:pt>
                <c:pt idx="6">
                  <c:v>0.01776461880088817</c:v>
                </c:pt>
                <c:pt idx="7">
                  <c:v>0.007480519480519377</c:v>
                </c:pt>
                <c:pt idx="8">
                  <c:v>-0.004331236464886103</c:v>
                </c:pt>
                <c:pt idx="9">
                  <c:v>-0.01015018125323664</c:v>
                </c:pt>
                <c:pt idx="10">
                  <c:v>-0.03316940462488233</c:v>
                </c:pt>
                <c:pt idx="11">
                  <c:v>-0.0546536796536796</c:v>
                </c:pt>
                <c:pt idx="12">
                  <c:v>-0.04464796794504863</c:v>
                </c:pt>
                <c:pt idx="13">
                  <c:v>-0.018000000000000002</c:v>
                </c:pt>
                <c:pt idx="14">
                  <c:v>-0.004</c:v>
                </c:pt>
                <c:pt idx="15">
                  <c:v>0.010414114187698971</c:v>
                </c:pt>
                <c:pt idx="16">
                  <c:v>-0.009700497150478923</c:v>
                </c:pt>
                <c:pt idx="17">
                  <c:v>-0.005142647238888287</c:v>
                </c:pt>
                <c:pt idx="18">
                  <c:v>0.0001230769230768658</c:v>
                </c:pt>
                <c:pt idx="19">
                  <c:v>0.012306177701205883</c:v>
                </c:pt>
                <c:pt idx="20">
                  <c:v>0.011184050571359024</c:v>
                </c:pt>
                <c:pt idx="21">
                  <c:v>0.00466614820575484</c:v>
                </c:pt>
                <c:pt idx="22">
                  <c:v>-0.005307973017803776</c:v>
                </c:pt>
              </c:numCache>
            </c:numRef>
          </c:val>
          <c:smooth val="0"/>
        </c:ser>
        <c:marker val="1"/>
        <c:axId val="60695061"/>
        <c:axId val="9384638"/>
      </c:lineChart>
      <c:catAx>
        <c:axId val="16490907"/>
        <c:scaling>
          <c:orientation val="minMax"/>
        </c:scaling>
        <c:axPos val="b"/>
        <c:delete val="0"/>
        <c:numFmt formatCode="General" sourceLinked="1"/>
        <c:majorTickMark val="out"/>
        <c:minorTickMark val="none"/>
        <c:tickLblPos val="nextTo"/>
        <c:crossAx val="14200436"/>
        <c:crosses val="autoZero"/>
        <c:auto val="1"/>
        <c:lblOffset val="100"/>
        <c:tickLblSkip val="2"/>
        <c:noMultiLvlLbl val="0"/>
      </c:catAx>
      <c:valAx>
        <c:axId val="14200436"/>
        <c:scaling>
          <c:orientation val="minMax"/>
          <c:max val="1100"/>
          <c:min val="800"/>
        </c:scaling>
        <c:axPos val="l"/>
        <c:title>
          <c:tx>
            <c:rich>
              <a:bodyPr vert="horz" rot="-5400000" anchor="ctr"/>
              <a:lstStyle/>
              <a:p>
                <a:pPr algn="ctr">
                  <a:defRPr/>
                </a:pPr>
                <a:r>
                  <a:rPr lang="en-US" cap="none" sz="700" b="0" i="0" u="none" baseline="0">
                    <a:latin typeface="Arial"/>
                    <a:ea typeface="Arial"/>
                    <a:cs typeface="Arial"/>
                  </a:rPr>
                  <a:t>In thousands</a:t>
                </a:r>
              </a:p>
            </c:rich>
          </c:tx>
          <c:layout/>
          <c:overlay val="0"/>
          <c:spPr>
            <a:noFill/>
            <a:ln>
              <a:noFill/>
            </a:ln>
          </c:spPr>
        </c:title>
        <c:delete val="0"/>
        <c:numFmt formatCode="0" sourceLinked="0"/>
        <c:majorTickMark val="out"/>
        <c:minorTickMark val="none"/>
        <c:tickLblPos val="nextTo"/>
        <c:crossAx val="16490907"/>
        <c:crossesAt val="1"/>
        <c:crossBetween val="midCat"/>
        <c:dispUnits/>
        <c:majorUnit val="25"/>
      </c:valAx>
      <c:catAx>
        <c:axId val="60695061"/>
        <c:scaling>
          <c:orientation val="minMax"/>
        </c:scaling>
        <c:axPos val="b"/>
        <c:delete val="1"/>
        <c:majorTickMark val="in"/>
        <c:minorTickMark val="none"/>
        <c:tickLblPos val="nextTo"/>
        <c:crossAx val="9384638"/>
        <c:crosses val="autoZero"/>
        <c:auto val="1"/>
        <c:lblOffset val="100"/>
        <c:noMultiLvlLbl val="0"/>
      </c:catAx>
      <c:valAx>
        <c:axId val="9384638"/>
        <c:scaling>
          <c:orientation val="minMax"/>
          <c:max val="0.1"/>
          <c:min val="-0.1"/>
        </c:scaling>
        <c:axPos val="l"/>
        <c:title>
          <c:tx>
            <c:rich>
              <a:bodyPr vert="horz" rot="-5400000" anchor="ctr"/>
              <a:lstStyle/>
              <a:p>
                <a:pPr algn="ctr">
                  <a:defRPr/>
                </a:pPr>
                <a:r>
                  <a:rPr lang="en-US"/>
                  <a:t>Annual growth rate</a:t>
                </a:r>
              </a:p>
            </c:rich>
          </c:tx>
          <c:layout>
            <c:manualLayout>
              <c:xMode val="factor"/>
              <c:yMode val="factor"/>
              <c:x val="-0.0025"/>
              <c:y val="-0.00125"/>
            </c:manualLayout>
          </c:layout>
          <c:overlay val="0"/>
          <c:spPr>
            <a:noFill/>
            <a:ln>
              <a:noFill/>
            </a:ln>
          </c:spPr>
        </c:title>
        <c:delete val="0"/>
        <c:numFmt formatCode="0.00" sourceLinked="0"/>
        <c:majorTickMark val="in"/>
        <c:minorTickMark val="none"/>
        <c:tickLblPos val="nextTo"/>
        <c:crossAx val="60695061"/>
        <c:crosses val="max"/>
        <c:crossBetween val="midCat"/>
        <c:dispUnits/>
        <c:majorUnit val="0.02"/>
      </c:valAx>
      <c:spPr>
        <a:noFill/>
        <a:ln>
          <a:noFill/>
        </a:ln>
      </c:spPr>
    </c:plotArea>
    <c:legend>
      <c:legendPos val="r"/>
      <c:layout>
        <c:manualLayout>
          <c:xMode val="edge"/>
          <c:yMode val="edge"/>
          <c:x val="0.3965"/>
          <c:y val="0.033"/>
          <c:w val="0.42525"/>
          <c:h val="0.1322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
          <c:w val="0.972"/>
          <c:h val="1"/>
        </c:manualLayout>
      </c:layout>
      <c:lineChart>
        <c:grouping val="standard"/>
        <c:varyColors val="0"/>
        <c:ser>
          <c:idx val="0"/>
          <c:order val="0"/>
          <c:tx>
            <c:v>Past real investment-output ratio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investment'!$A$6:$A$26</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'projected investment'!$E$6:$E$26</c:f>
              <c:numCache>
                <c:ptCount val="21"/>
                <c:pt idx="0">
                  <c:v>0.1695515731189436</c:v>
                </c:pt>
                <c:pt idx="1">
                  <c:v>0.18378190943065117</c:v>
                </c:pt>
                <c:pt idx="2">
                  <c:v>0.20629741256321502</c:v>
                </c:pt>
                <c:pt idx="3">
                  <c:v>0.22144110779300888</c:v>
                </c:pt>
                <c:pt idx="4">
                  <c:v>0.23985994850838316</c:v>
                </c:pt>
                <c:pt idx="5">
                  <c:v>0.25469808101446945</c:v>
                </c:pt>
                <c:pt idx="6">
                  <c:v>0.29198985531838434</c:v>
                </c:pt>
                <c:pt idx="7">
                  <c:v>0.28269320873683723</c:v>
                </c:pt>
                <c:pt idx="8">
                  <c:v>0.2868607001297045</c:v>
                </c:pt>
                <c:pt idx="9">
                  <c:v>0.28624432395883354</c:v>
                </c:pt>
              </c:numCache>
            </c:numRef>
          </c:val>
          <c:smooth val="0"/>
        </c:ser>
        <c:ser>
          <c:idx val="1"/>
          <c:order val="1"/>
          <c:tx>
            <c:v>Projected real investment-output ratio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investment'!$A$6:$A$26</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'projected investment'!$J$6:$J$26</c:f>
              <c:numCache>
                <c:ptCount val="21"/>
                <c:pt idx="9">
                  <c:v>0.28624432395883354</c:v>
                </c:pt>
                <c:pt idx="10">
                  <c:v>0.25140260165384826</c:v>
                </c:pt>
                <c:pt idx="11">
                  <c:v>0.2540369034204154</c:v>
                </c:pt>
                <c:pt idx="12">
                  <c:v>0.2566988085043376</c:v>
                </c:pt>
                <c:pt idx="13">
                  <c:v>0.2593886061447364</c:v>
                </c:pt>
                <c:pt idx="14">
                  <c:v>0.2621065886115022</c:v>
                </c:pt>
                <c:pt idx="15">
                  <c:v>0.26485305123705155</c:v>
                </c:pt>
                <c:pt idx="16">
                  <c:v>0.2676282924484178</c:v>
                </c:pt>
                <c:pt idx="17">
                  <c:v>0.2704326137996778</c:v>
                </c:pt>
                <c:pt idx="18">
                  <c:v>0.2732663200047184</c:v>
                </c:pt>
                <c:pt idx="19">
                  <c:v>0.2761297189703461</c:v>
                </c:pt>
                <c:pt idx="20">
                  <c:v>0.27902312182974376</c:v>
                </c:pt>
              </c:numCache>
            </c:numRef>
          </c:val>
          <c:smooth val="0"/>
        </c:ser>
        <c:axId val="36369237"/>
        <c:axId val="58887678"/>
      </c:lineChart>
      <c:catAx>
        <c:axId val="36369237"/>
        <c:scaling>
          <c:orientation val="minMax"/>
        </c:scaling>
        <c:axPos val="b"/>
        <c:delete val="0"/>
        <c:numFmt formatCode="General" sourceLinked="1"/>
        <c:majorTickMark val="out"/>
        <c:minorTickMark val="none"/>
        <c:tickLblPos val="nextTo"/>
        <c:crossAx val="58887678"/>
        <c:crosses val="autoZero"/>
        <c:auto val="1"/>
        <c:lblOffset val="100"/>
        <c:tickLblSkip val="2"/>
        <c:noMultiLvlLbl val="0"/>
      </c:catAx>
      <c:valAx>
        <c:axId val="58887678"/>
        <c:scaling>
          <c:orientation val="minMax"/>
          <c:max val="0.3"/>
        </c:scaling>
        <c:axPos val="l"/>
        <c:title>
          <c:tx>
            <c:rich>
              <a:bodyPr vert="horz" rot="-5400000" anchor="ctr"/>
              <a:lstStyle/>
              <a:p>
                <a:pPr algn="ctr">
                  <a:defRPr/>
                </a:pPr>
                <a:r>
                  <a:rPr lang="en-US"/>
                  <a:t>I/Y</a:t>
                </a:r>
              </a:p>
            </c:rich>
          </c:tx>
          <c:layout>
            <c:manualLayout>
              <c:xMode val="factor"/>
              <c:yMode val="factor"/>
              <c:x val="-0.0065"/>
              <c:y val="-0.001"/>
            </c:manualLayout>
          </c:layout>
          <c:overlay val="0"/>
          <c:spPr>
            <a:noFill/>
            <a:ln>
              <a:noFill/>
            </a:ln>
          </c:spPr>
        </c:title>
        <c:delete val="0"/>
        <c:numFmt formatCode="0.00" sourceLinked="0"/>
        <c:majorTickMark val="out"/>
        <c:minorTickMark val="none"/>
        <c:tickLblPos val="nextTo"/>
        <c:crossAx val="36369237"/>
        <c:crossesAt val="1"/>
        <c:crossBetween val="midCat"/>
        <c:dispUnits/>
      </c:valAx>
      <c:spPr>
        <a:noFill/>
        <a:ln>
          <a:noFill/>
        </a:ln>
      </c:spPr>
    </c:plotArea>
    <c:legend>
      <c:legendPos val="r"/>
      <c:layout>
        <c:manualLayout>
          <c:xMode val="edge"/>
          <c:yMode val="edge"/>
          <c:x val="0.2155"/>
          <c:y val="0.705"/>
          <c:w val="0.442"/>
          <c:h val="0.149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Past real investment-output ratio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investment'!$A$6:$A$26</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'projected investment'!$E$6:$E$26</c:f>
              <c:numCache>
                <c:ptCount val="21"/>
                <c:pt idx="0">
                  <c:v>0.1695515731189436</c:v>
                </c:pt>
                <c:pt idx="1">
                  <c:v>0.18378190943065117</c:v>
                </c:pt>
                <c:pt idx="2">
                  <c:v>0.20629741256321502</c:v>
                </c:pt>
                <c:pt idx="3">
                  <c:v>0.22144110779300888</c:v>
                </c:pt>
                <c:pt idx="4">
                  <c:v>0.23985994850838316</c:v>
                </c:pt>
                <c:pt idx="5">
                  <c:v>0.25469808101446945</c:v>
                </c:pt>
                <c:pt idx="6">
                  <c:v>0.29198985531838434</c:v>
                </c:pt>
                <c:pt idx="7">
                  <c:v>0.28269320873683723</c:v>
                </c:pt>
                <c:pt idx="8">
                  <c:v>0.2868607001297045</c:v>
                </c:pt>
                <c:pt idx="9">
                  <c:v>0.28624432395883354</c:v>
                </c:pt>
              </c:numCache>
            </c:numRef>
          </c:val>
          <c:smooth val="0"/>
        </c:ser>
        <c:ser>
          <c:idx val="1"/>
          <c:order val="1"/>
          <c:tx>
            <c:v>Projected real investment-output ratio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investment'!$A$6:$A$26</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'projected investment'!$J$6:$J$26</c:f>
              <c:numCache>
                <c:ptCount val="21"/>
                <c:pt idx="9">
                  <c:v>0.28624432395883354</c:v>
                </c:pt>
                <c:pt idx="10">
                  <c:v>0.25140260165384826</c:v>
                </c:pt>
                <c:pt idx="11">
                  <c:v>0.2540369034204154</c:v>
                </c:pt>
                <c:pt idx="12">
                  <c:v>0.2566988085043376</c:v>
                </c:pt>
                <c:pt idx="13">
                  <c:v>0.2593886061447364</c:v>
                </c:pt>
                <c:pt idx="14">
                  <c:v>0.2621065886115022</c:v>
                </c:pt>
                <c:pt idx="15">
                  <c:v>0.26485305123705155</c:v>
                </c:pt>
                <c:pt idx="16">
                  <c:v>0.2676282924484178</c:v>
                </c:pt>
                <c:pt idx="17">
                  <c:v>0.2704326137996778</c:v>
                </c:pt>
                <c:pt idx="18">
                  <c:v>0.2732663200047184</c:v>
                </c:pt>
                <c:pt idx="19">
                  <c:v>0.2761297189703461</c:v>
                </c:pt>
                <c:pt idx="20">
                  <c:v>0.27902312182974376</c:v>
                </c:pt>
              </c:numCache>
            </c:numRef>
          </c:val>
          <c:smooth val="0"/>
        </c:ser>
        <c:axId val="60227055"/>
        <c:axId val="5172584"/>
      </c:lineChart>
      <c:catAx>
        <c:axId val="60227055"/>
        <c:scaling>
          <c:orientation val="minMax"/>
        </c:scaling>
        <c:axPos val="b"/>
        <c:delete val="0"/>
        <c:numFmt formatCode="General" sourceLinked="1"/>
        <c:majorTickMark val="out"/>
        <c:minorTickMark val="none"/>
        <c:tickLblPos val="nextTo"/>
        <c:crossAx val="5172584"/>
        <c:crosses val="autoZero"/>
        <c:auto val="1"/>
        <c:lblOffset val="100"/>
        <c:tickLblSkip val="2"/>
        <c:noMultiLvlLbl val="0"/>
      </c:catAx>
      <c:valAx>
        <c:axId val="5172584"/>
        <c:scaling>
          <c:orientation val="minMax"/>
        </c:scaling>
        <c:axPos val="l"/>
        <c:title>
          <c:tx>
            <c:rich>
              <a:bodyPr vert="horz" rot="-5400000" anchor="ctr"/>
              <a:lstStyle/>
              <a:p>
                <a:pPr algn="ctr">
                  <a:defRPr/>
                </a:pPr>
                <a:r>
                  <a:rPr lang="en-US" cap="none" sz="1000" b="1" i="0" u="none" baseline="0">
                    <a:latin typeface="Arial"/>
                    <a:ea typeface="Arial"/>
                    <a:cs typeface="Arial"/>
                  </a:rPr>
                  <a:t>I/Y</a:t>
                </a:r>
              </a:p>
            </c:rich>
          </c:tx>
          <c:layout/>
          <c:overlay val="0"/>
          <c:spPr>
            <a:noFill/>
            <a:ln>
              <a:noFill/>
            </a:ln>
          </c:spPr>
        </c:title>
        <c:delete val="0"/>
        <c:numFmt formatCode="0.00" sourceLinked="0"/>
        <c:majorTickMark val="out"/>
        <c:minorTickMark val="none"/>
        <c:tickLblPos val="nextTo"/>
        <c:crossAx val="60227055"/>
        <c:crossesAt val="1"/>
        <c:crossBetween val="midCat"/>
        <c:dispUnits/>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
          <c:w val="0.96225"/>
          <c:h val="1"/>
        </c:manualLayout>
      </c:layout>
      <c:lineChart>
        <c:grouping val="standard"/>
        <c:varyColors val="0"/>
        <c:ser>
          <c:idx val="0"/>
          <c:order val="0"/>
          <c:tx>
            <c:v>EU-15</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'[1]past_eu_growth'!$L$18:$L$31</c:f>
              <c:numCache>
                <c:ptCount val="14"/>
                <c:pt idx="0">
                  <c:v>0.007674144037780328</c:v>
                </c:pt>
                <c:pt idx="1">
                  <c:v>-0.008787346221441172</c:v>
                </c:pt>
                <c:pt idx="2">
                  <c:v>0.024231678486997588</c:v>
                </c:pt>
                <c:pt idx="3">
                  <c:v>0.020196191575302835</c:v>
                </c:pt>
                <c:pt idx="4">
                  <c:v>0.013574660633484115</c:v>
                </c:pt>
                <c:pt idx="5">
                  <c:v>0.022321428571428603</c:v>
                </c:pt>
                <c:pt idx="6">
                  <c:v>0.026746724890829743</c:v>
                </c:pt>
                <c:pt idx="7">
                  <c:v>0.026049973418394545</c:v>
                </c:pt>
                <c:pt idx="8">
                  <c:v>0.031606217616580334</c:v>
                </c:pt>
                <c:pt idx="9">
                  <c:v>0.012054244098443023</c:v>
                </c:pt>
                <c:pt idx="10">
                  <c:v>0.006451612903225712</c:v>
                </c:pt>
              </c:numCache>
            </c:numRef>
          </c:val>
          <c:smooth val="0"/>
        </c:ser>
        <c:ser>
          <c:idx val="1"/>
          <c:order val="1"/>
          <c:tx>
            <c:v>New member states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past_eu_growth!$Q$18:$Q$31</c:f>
              <c:numCache>
                <c:ptCount val="14"/>
                <c:pt idx="3">
                  <c:v>0.053763440860215006</c:v>
                </c:pt>
                <c:pt idx="4">
                  <c:v>0.04761904761904767</c:v>
                </c:pt>
                <c:pt idx="5">
                  <c:v>0.04870129870129869</c:v>
                </c:pt>
                <c:pt idx="6">
                  <c:v>0.037151702786377694</c:v>
                </c:pt>
                <c:pt idx="7">
                  <c:v>0.032835820895522394</c:v>
                </c:pt>
                <c:pt idx="8">
                  <c:v>0.07514450867052025</c:v>
                </c:pt>
                <c:pt idx="9">
                  <c:v>0.032258064516129004</c:v>
                </c:pt>
                <c:pt idx="10">
                  <c:v>0.02604166666666674</c:v>
                </c:pt>
              </c:numCache>
            </c:numRef>
          </c:val>
          <c:smooth val="0"/>
        </c:ser>
        <c:ser>
          <c:idx val="2"/>
          <c:order val="2"/>
          <c:tx>
            <c:v>EU-25</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'[1]past_eu_growth'!$O$18:$O$31</c:f>
              <c:numCache>
                <c:ptCount val="14"/>
                <c:pt idx="7">
                  <c:v>0.02654320987654324</c:v>
                </c:pt>
                <c:pt idx="8">
                  <c:v>0.03487672880336734</c:v>
                </c:pt>
                <c:pt idx="9">
                  <c:v>0.01568855316676343</c:v>
                </c:pt>
                <c:pt idx="10">
                  <c:v>0.008581235697940448</c:v>
                </c:pt>
              </c:numCache>
            </c:numRef>
          </c:val>
          <c:smooth val="0"/>
        </c:ser>
        <c:ser>
          <c:idx val="3"/>
          <c:order val="3"/>
          <c:tx>
            <c:v>EU-15 (forecast)</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'[1]past_eu_growth'!$M$18:$M$31</c:f>
              <c:numCache>
                <c:ptCount val="14"/>
                <c:pt idx="10">
                  <c:v>0.006451612903225712</c:v>
                </c:pt>
                <c:pt idx="11">
                  <c:v>0.002958579881656709</c:v>
                </c:pt>
                <c:pt idx="12">
                  <c:v>0.01671583087512296</c:v>
                </c:pt>
                <c:pt idx="13">
                  <c:v>0.020793036750483607</c:v>
                </c:pt>
              </c:numCache>
            </c:numRef>
          </c:val>
          <c:smooth val="0"/>
        </c:ser>
        <c:ser>
          <c:idx val="4"/>
          <c:order val="4"/>
          <c:tx>
            <c:v>New member states (forecast)</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past_eu_growth!$R$18:$R$31</c:f>
              <c:numCache>
                <c:ptCount val="14"/>
                <c:pt idx="10">
                  <c:v>0.02604166666666674</c:v>
                </c:pt>
                <c:pt idx="11">
                  <c:v>0.030203045685279095</c:v>
                </c:pt>
                <c:pt idx="12">
                  <c:v>0.03966494210396654</c:v>
                </c:pt>
                <c:pt idx="13">
                  <c:v>0.042654028436019065</c:v>
                </c:pt>
              </c:numCache>
            </c:numRef>
          </c:val>
          <c:smooth val="0"/>
        </c:ser>
        <c:ser>
          <c:idx val="5"/>
          <c:order val="5"/>
          <c:tx>
            <c:v>EU-25 (forecast)</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'[1]past_eu_growth'!$P$18:$P$31</c:f>
              <c:numCache>
                <c:ptCount val="14"/>
                <c:pt idx="10">
                  <c:v>0.008581235697940448</c:v>
                </c:pt>
                <c:pt idx="11">
                  <c:v>0.004537719795802531</c:v>
                </c:pt>
                <c:pt idx="12">
                  <c:v>0.01806888763410508</c:v>
                </c:pt>
                <c:pt idx="13">
                  <c:v>0.021630615640598982</c:v>
                </c:pt>
              </c:numCache>
            </c:numRef>
          </c:val>
          <c:smooth val="0"/>
        </c:ser>
        <c:axId val="46553257"/>
        <c:axId val="16326130"/>
      </c:lineChart>
      <c:catAx>
        <c:axId val="46553257"/>
        <c:scaling>
          <c:orientation val="minMax"/>
        </c:scaling>
        <c:axPos val="b"/>
        <c:delete val="0"/>
        <c:numFmt formatCode="General" sourceLinked="1"/>
        <c:majorTickMark val="out"/>
        <c:minorTickMark val="none"/>
        <c:tickLblPos val="nextTo"/>
        <c:crossAx val="16326130"/>
        <c:crosses val="autoZero"/>
        <c:auto val="1"/>
        <c:lblOffset val="100"/>
        <c:noMultiLvlLbl val="0"/>
      </c:catAx>
      <c:valAx>
        <c:axId val="16326130"/>
        <c:scaling>
          <c:orientation val="minMax"/>
          <c:min val="-0.01"/>
        </c:scaling>
        <c:axPos val="l"/>
        <c:title>
          <c:tx>
            <c:rich>
              <a:bodyPr vert="horz" rot="-5400000" anchor="ctr"/>
              <a:lstStyle/>
              <a:p>
                <a:pPr algn="ctr">
                  <a:defRPr/>
                </a:pPr>
                <a:r>
                  <a:rPr lang="en-US"/>
                  <a:t>Annual growth rate</a:t>
                </a:r>
              </a:p>
            </c:rich>
          </c:tx>
          <c:layout/>
          <c:overlay val="0"/>
          <c:spPr>
            <a:noFill/>
            <a:ln>
              <a:noFill/>
            </a:ln>
          </c:spPr>
        </c:title>
        <c:delete val="0"/>
        <c:numFmt formatCode="0.00" sourceLinked="0"/>
        <c:majorTickMark val="out"/>
        <c:minorTickMark val="none"/>
        <c:tickLblPos val="nextTo"/>
        <c:crossAx val="46553257"/>
        <c:crossesAt val="1"/>
        <c:crossBetween val="midCat"/>
        <c:dispUnits/>
      </c:valAx>
      <c:spPr>
        <a:noFill/>
        <a:ln>
          <a:noFill/>
        </a:ln>
      </c:spPr>
    </c:plotArea>
    <c:legend>
      <c:legendPos val="r"/>
      <c:layout>
        <c:manualLayout>
          <c:xMode val="edge"/>
          <c:yMode val="edge"/>
          <c:x val="0.16475"/>
          <c:y val="0.004"/>
          <c:w val="0.3505"/>
          <c:h val="0.2757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7"/>
          <c:w val="0.9585"/>
          <c:h val="0.91875"/>
        </c:manualLayout>
      </c:layout>
      <c:lineChart>
        <c:grouping val="standard"/>
        <c:varyColors val="0"/>
        <c:ser>
          <c:idx val="0"/>
          <c:order val="0"/>
          <c:tx>
            <c:v>EU-15</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'[1]past_eu_growth'!$L$18:$L$31</c:f>
              <c:numCache>
                <c:ptCount val="14"/>
                <c:pt idx="0">
                  <c:v>0.007674144037780328</c:v>
                </c:pt>
                <c:pt idx="1">
                  <c:v>-0.008787346221441172</c:v>
                </c:pt>
                <c:pt idx="2">
                  <c:v>0.024231678486997588</c:v>
                </c:pt>
                <c:pt idx="3">
                  <c:v>0.020196191575302835</c:v>
                </c:pt>
                <c:pt idx="4">
                  <c:v>0.013574660633484115</c:v>
                </c:pt>
                <c:pt idx="5">
                  <c:v>0.022321428571428603</c:v>
                </c:pt>
                <c:pt idx="6">
                  <c:v>0.026746724890829743</c:v>
                </c:pt>
                <c:pt idx="7">
                  <c:v>0.026049973418394545</c:v>
                </c:pt>
                <c:pt idx="8">
                  <c:v>0.031606217616580334</c:v>
                </c:pt>
                <c:pt idx="9">
                  <c:v>0.012054244098443023</c:v>
                </c:pt>
                <c:pt idx="10">
                  <c:v>0.006451612903225712</c:v>
                </c:pt>
              </c:numCache>
            </c:numRef>
          </c:val>
          <c:smooth val="0"/>
        </c:ser>
        <c:ser>
          <c:idx val="1"/>
          <c:order val="1"/>
          <c:tx>
            <c:v>10 new member states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past_eu_growth!$Q$18:$Q$31</c:f>
              <c:numCache>
                <c:ptCount val="14"/>
                <c:pt idx="3">
                  <c:v>0.053763440860215006</c:v>
                </c:pt>
                <c:pt idx="4">
                  <c:v>0.04761904761904767</c:v>
                </c:pt>
                <c:pt idx="5">
                  <c:v>0.04870129870129869</c:v>
                </c:pt>
                <c:pt idx="6">
                  <c:v>0.037151702786377694</c:v>
                </c:pt>
                <c:pt idx="7">
                  <c:v>0.032835820895522394</c:v>
                </c:pt>
                <c:pt idx="8">
                  <c:v>0.07514450867052025</c:v>
                </c:pt>
                <c:pt idx="9">
                  <c:v>0.032258064516129004</c:v>
                </c:pt>
                <c:pt idx="10">
                  <c:v>0.02604166666666674</c:v>
                </c:pt>
              </c:numCache>
            </c:numRef>
          </c:val>
          <c:smooth val="0"/>
        </c:ser>
        <c:ser>
          <c:idx val="2"/>
          <c:order val="2"/>
          <c:tx>
            <c:v>EU-25</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'[1]past_eu_growth'!$O$18:$O$31</c:f>
              <c:numCache>
                <c:ptCount val="14"/>
                <c:pt idx="7">
                  <c:v>0.02654320987654324</c:v>
                </c:pt>
                <c:pt idx="8">
                  <c:v>0.03487672880336734</c:v>
                </c:pt>
                <c:pt idx="9">
                  <c:v>0.01568855316676343</c:v>
                </c:pt>
                <c:pt idx="10">
                  <c:v>0.008581235697940448</c:v>
                </c:pt>
              </c:numCache>
            </c:numRef>
          </c:val>
          <c:smooth val="0"/>
        </c:ser>
        <c:ser>
          <c:idx val="3"/>
          <c:order val="3"/>
          <c:tx>
            <c:v>EU-15 (forecast)</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'[1]past_eu_growth'!$M$18:$M$31</c:f>
              <c:numCache>
                <c:ptCount val="14"/>
                <c:pt idx="10">
                  <c:v>0.006451612903225712</c:v>
                </c:pt>
                <c:pt idx="11">
                  <c:v>0.002958579881656709</c:v>
                </c:pt>
                <c:pt idx="12">
                  <c:v>0.01671583087512296</c:v>
                </c:pt>
                <c:pt idx="13">
                  <c:v>0.020793036750483607</c:v>
                </c:pt>
              </c:numCache>
            </c:numRef>
          </c:val>
          <c:smooth val="0"/>
        </c:ser>
        <c:ser>
          <c:idx val="4"/>
          <c:order val="4"/>
          <c:tx>
            <c:v>10 new member states (forecast)</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past_eu_growth!$R$18:$R$31</c:f>
              <c:numCache>
                <c:ptCount val="14"/>
                <c:pt idx="10">
                  <c:v>0.02604166666666674</c:v>
                </c:pt>
                <c:pt idx="11">
                  <c:v>0.030203045685279095</c:v>
                </c:pt>
                <c:pt idx="12">
                  <c:v>0.03966494210396654</c:v>
                </c:pt>
                <c:pt idx="13">
                  <c:v>0.042654028436019065</c:v>
                </c:pt>
              </c:numCache>
            </c:numRef>
          </c:val>
          <c:smooth val="0"/>
        </c:ser>
        <c:ser>
          <c:idx val="5"/>
          <c:order val="5"/>
          <c:tx>
            <c:v>EU-25 (forecast)</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'[1]past_eu_growth'!$P$18:$P$31</c:f>
              <c:numCache>
                <c:ptCount val="14"/>
                <c:pt idx="10">
                  <c:v>0.008581235697940448</c:v>
                </c:pt>
                <c:pt idx="11">
                  <c:v>0.004537719795802531</c:v>
                </c:pt>
                <c:pt idx="12">
                  <c:v>0.01806888763410508</c:v>
                </c:pt>
                <c:pt idx="13">
                  <c:v>0.021630615640598982</c:v>
                </c:pt>
              </c:numCache>
            </c:numRef>
          </c:val>
          <c:smooth val="0"/>
        </c:ser>
        <c:axId val="12717443"/>
        <c:axId val="47348124"/>
      </c:lineChart>
      <c:catAx>
        <c:axId val="12717443"/>
        <c:scaling>
          <c:orientation val="minMax"/>
        </c:scaling>
        <c:axPos val="b"/>
        <c:delete val="0"/>
        <c:numFmt formatCode="General" sourceLinked="1"/>
        <c:majorTickMark val="out"/>
        <c:minorTickMark val="none"/>
        <c:tickLblPos val="nextTo"/>
        <c:crossAx val="47348124"/>
        <c:crosses val="autoZero"/>
        <c:auto val="1"/>
        <c:lblOffset val="100"/>
        <c:noMultiLvlLbl val="0"/>
      </c:catAx>
      <c:valAx>
        <c:axId val="47348124"/>
        <c:scaling>
          <c:orientation val="minMax"/>
        </c:scaling>
        <c:axPos val="l"/>
        <c:title>
          <c:tx>
            <c:rich>
              <a:bodyPr vert="horz" rot="-5400000" anchor="ctr"/>
              <a:lstStyle/>
              <a:p>
                <a:pPr algn="ctr">
                  <a:defRPr/>
                </a:pPr>
                <a:r>
                  <a:rPr lang="en-US" cap="none" sz="1000" b="1" i="0" u="none" baseline="0">
                    <a:latin typeface="Arial"/>
                    <a:ea typeface="Arial"/>
                    <a:cs typeface="Arial"/>
                  </a:rPr>
                  <a:t>Annual growth rate</a:t>
                </a:r>
              </a:p>
            </c:rich>
          </c:tx>
          <c:layout/>
          <c:overlay val="0"/>
          <c:spPr>
            <a:noFill/>
            <a:ln>
              <a:noFill/>
            </a:ln>
          </c:spPr>
        </c:title>
        <c:delete val="0"/>
        <c:numFmt formatCode="0.00" sourceLinked="0"/>
        <c:majorTickMark val="out"/>
        <c:minorTickMark val="none"/>
        <c:tickLblPos val="nextTo"/>
        <c:crossAx val="12717443"/>
        <c:crossesAt val="1"/>
        <c:crossBetween val="midCat"/>
        <c:dispUnits/>
      </c:valAx>
      <c:spPr>
        <a:noFill/>
        <a:ln>
          <a:noFill/>
        </a:ln>
      </c:spPr>
    </c:plotArea>
    <c:legend>
      <c:legendPos val="r"/>
      <c:layout>
        <c:manualLayout>
          <c:xMode val="edge"/>
          <c:yMode val="edge"/>
          <c:x val="0.11375"/>
          <c:y val="0.90825"/>
          <c:w val="0.79425"/>
          <c:h val="0.0852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
          <c:w val="0.9635"/>
          <c:h val="1"/>
        </c:manualLayout>
      </c:layout>
      <c:lineChart>
        <c:grouping val="standard"/>
        <c:varyColors val="0"/>
        <c:ser>
          <c:idx val="0"/>
          <c:order val="0"/>
          <c:tx>
            <c:v>EU-15</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gdp_pc_oecd_long_past!$X$18:$X$58</c:f>
              <c:numCache>
                <c:ptCount val="41"/>
                <c:pt idx="0">
                  <c:v>0.03602746815432486</c:v>
                </c:pt>
                <c:pt idx="1">
                  <c:v>0.03610021206502349</c:v>
                </c:pt>
                <c:pt idx="2">
                  <c:v>0.03884545149642312</c:v>
                </c:pt>
                <c:pt idx="3">
                  <c:v>0.03825135657193854</c:v>
                </c:pt>
                <c:pt idx="4">
                  <c:v>0.037409208688645675</c:v>
                </c:pt>
                <c:pt idx="5">
                  <c:v>0.0371025044804992</c:v>
                </c:pt>
                <c:pt idx="6">
                  <c:v>0.03862146159715726</c:v>
                </c:pt>
                <c:pt idx="7">
                  <c:v>0.03988949000346222</c:v>
                </c:pt>
                <c:pt idx="8">
                  <c:v>0.04190599914746653</c:v>
                </c:pt>
                <c:pt idx="9">
                  <c:v>0.04163656271490672</c:v>
                </c:pt>
                <c:pt idx="10">
                  <c:v>0.040673439385581635</c:v>
                </c:pt>
                <c:pt idx="11">
                  <c:v>0.04128809798301013</c:v>
                </c:pt>
                <c:pt idx="12">
                  <c:v>0.039507833157942436</c:v>
                </c:pt>
                <c:pt idx="13">
                  <c:v>0.035138679522112005</c:v>
                </c:pt>
                <c:pt idx="14">
                  <c:v>0.033944130190463</c:v>
                </c:pt>
                <c:pt idx="15">
                  <c:v>0.03339253685829029</c:v>
                </c:pt>
                <c:pt idx="16">
                  <c:v>0.03292581174352547</c:v>
                </c:pt>
                <c:pt idx="17">
                  <c:v>0.032364508295553145</c:v>
                </c:pt>
                <c:pt idx="18">
                  <c:v>0.029354036440197535</c:v>
                </c:pt>
                <c:pt idx="19">
                  <c:v>0.025120110713551927</c:v>
                </c:pt>
                <c:pt idx="20">
                  <c:v>0.02301221483420504</c:v>
                </c:pt>
                <c:pt idx="21">
                  <c:v>0.022046435057718153</c:v>
                </c:pt>
                <c:pt idx="22">
                  <c:v>0.020410718021073027</c:v>
                </c:pt>
                <c:pt idx="23">
                  <c:v>0.01761537024166009</c:v>
                </c:pt>
                <c:pt idx="24">
                  <c:v>0.018178273040482917</c:v>
                </c:pt>
                <c:pt idx="25">
                  <c:v>0.02137189010854434</c:v>
                </c:pt>
                <c:pt idx="26">
                  <c:v>0.021592435323001407</c:v>
                </c:pt>
                <c:pt idx="27">
                  <c:v>0.02218177574605897</c:v>
                </c:pt>
                <c:pt idx="28">
                  <c:v>0.02154580174774162</c:v>
                </c:pt>
                <c:pt idx="29">
                  <c:v>0.019322046296764123</c:v>
                </c:pt>
                <c:pt idx="30">
                  <c:v>0.018708933887226938</c:v>
                </c:pt>
                <c:pt idx="31">
                  <c:v>0.01847164221813579</c:v>
                </c:pt>
                <c:pt idx="32">
                  <c:v>0.01960157849767825</c:v>
                </c:pt>
                <c:pt idx="33">
                  <c:v>0.02026000565930199</c:v>
                </c:pt>
                <c:pt idx="34">
                  <c:v>0.020079198424910353</c:v>
                </c:pt>
                <c:pt idx="35">
                  <c:v>0.020421319273816706</c:v>
                </c:pt>
                <c:pt idx="36">
                  <c:v>0.02060850468172806</c:v>
                </c:pt>
                <c:pt idx="37">
                  <c:v>0.02040247754982066</c:v>
                </c:pt>
                <c:pt idx="38">
                  <c:v>0.019940011882447418</c:v>
                </c:pt>
                <c:pt idx="39">
                  <c:v>0.018772074228708083</c:v>
                </c:pt>
                <c:pt idx="40">
                  <c:v>0.0180745986041054</c:v>
                </c:pt>
              </c:numCache>
            </c:numRef>
          </c:val>
          <c:smooth val="0"/>
        </c:ser>
        <c:ser>
          <c:idx val="1"/>
          <c:order val="1"/>
          <c:tx>
            <c:v>US</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gdp_pc_oecd_long_past!$Y$18:$Y$58</c:f>
              <c:numCache>
                <c:ptCount val="41"/>
                <c:pt idx="0">
                  <c:v>0.018828223950704704</c:v>
                </c:pt>
                <c:pt idx="1">
                  <c:v>0.01635337244440497</c:v>
                </c:pt>
                <c:pt idx="2">
                  <c:v>0.01832087394105529</c:v>
                </c:pt>
                <c:pt idx="3">
                  <c:v>0.020136715312382213</c:v>
                </c:pt>
                <c:pt idx="4">
                  <c:v>0.026566502473126516</c:v>
                </c:pt>
                <c:pt idx="5">
                  <c:v>0.023399243285525204</c:v>
                </c:pt>
                <c:pt idx="6">
                  <c:v>0.026364986435767245</c:v>
                </c:pt>
                <c:pt idx="7">
                  <c:v>0.02809580922937219</c:v>
                </c:pt>
                <c:pt idx="8">
                  <c:v>0.029483663735184476</c:v>
                </c:pt>
                <c:pt idx="9">
                  <c:v>0.02630475043677454</c:v>
                </c:pt>
                <c:pt idx="10">
                  <c:v>0.02905778074771846</c:v>
                </c:pt>
                <c:pt idx="11">
                  <c:v>0.03241523632924646</c:v>
                </c:pt>
                <c:pt idx="12">
                  <c:v>0.027748046371193335</c:v>
                </c:pt>
                <c:pt idx="13">
                  <c:v>0.024337371394739616</c:v>
                </c:pt>
                <c:pt idx="14">
                  <c:v>0.02426672906267095</c:v>
                </c:pt>
                <c:pt idx="15">
                  <c:v>0.022954437751613963</c:v>
                </c:pt>
                <c:pt idx="16">
                  <c:v>0.02234099635716537</c:v>
                </c:pt>
                <c:pt idx="17">
                  <c:v>0.023071123368206225</c:v>
                </c:pt>
                <c:pt idx="18">
                  <c:v>0.019031737676688105</c:v>
                </c:pt>
                <c:pt idx="19">
                  <c:v>0.018505240403928494</c:v>
                </c:pt>
                <c:pt idx="20">
                  <c:v>0.016982032975812234</c:v>
                </c:pt>
                <c:pt idx="21">
                  <c:v>0.01816624519382145</c:v>
                </c:pt>
                <c:pt idx="22">
                  <c:v>0.019980161467485026</c:v>
                </c:pt>
                <c:pt idx="23">
                  <c:v>0.01854643494815038</c:v>
                </c:pt>
                <c:pt idx="24">
                  <c:v>0.02162212554206352</c:v>
                </c:pt>
                <c:pt idx="25">
                  <c:v>0.024835939587081163</c:v>
                </c:pt>
                <c:pt idx="26">
                  <c:v>0.024019631816594226</c:v>
                </c:pt>
                <c:pt idx="27">
                  <c:v>0.023189798265028736</c:v>
                </c:pt>
                <c:pt idx="28">
                  <c:v>0.01987458102656495</c:v>
                </c:pt>
                <c:pt idx="29">
                  <c:v>0.01647248084119631</c:v>
                </c:pt>
                <c:pt idx="30">
                  <c:v>0.018828963895179237</c:v>
                </c:pt>
                <c:pt idx="31">
                  <c:v>0.018703073396933622</c:v>
                </c:pt>
                <c:pt idx="32">
                  <c:v>0.023397681132591094</c:v>
                </c:pt>
                <c:pt idx="33">
                  <c:v>0.02193923886201141</c:v>
                </c:pt>
                <c:pt idx="34">
                  <c:v>0.01865174473109042</c:v>
                </c:pt>
                <c:pt idx="35">
                  <c:v>0.018901889193465745</c:v>
                </c:pt>
                <c:pt idx="36">
                  <c:v>0.019287448785939302</c:v>
                </c:pt>
                <c:pt idx="37">
                  <c:v>0.01983963342911119</c:v>
                </c:pt>
                <c:pt idx="38">
                  <c:v>0.019236798680347007</c:v>
                </c:pt>
                <c:pt idx="39">
                  <c:v>0.01679525361672772</c:v>
                </c:pt>
                <c:pt idx="40">
                  <c:v>0.017327424936867536</c:v>
                </c:pt>
              </c:numCache>
            </c:numRef>
          </c:val>
          <c:smooth val="0"/>
        </c:ser>
        <c:ser>
          <c:idx val="2"/>
          <c:order val="2"/>
          <c:tx>
            <c:v>Japan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gdp_pc_oecd_long_past!$Z$18:$Z$58</c:f>
              <c:numCache>
                <c:ptCount val="41"/>
                <c:pt idx="14">
                  <c:v>0.0628546494576313</c:v>
                </c:pt>
                <c:pt idx="15">
                  <c:v>0.06176394529841522</c:v>
                </c:pt>
                <c:pt idx="16">
                  <c:v>0.05733175730358384</c:v>
                </c:pt>
                <c:pt idx="17">
                  <c:v>0.052876201296208326</c:v>
                </c:pt>
                <c:pt idx="18">
                  <c:v>0.0448695726995515</c:v>
                </c:pt>
                <c:pt idx="19">
                  <c:v>0.037598617202567935</c:v>
                </c:pt>
                <c:pt idx="20">
                  <c:v>0.0316740713222119</c:v>
                </c:pt>
                <c:pt idx="21">
                  <c:v>0.030226905302363303</c:v>
                </c:pt>
                <c:pt idx="22">
                  <c:v>0.027184873715673786</c:v>
                </c:pt>
                <c:pt idx="23">
                  <c:v>0.024900971000206135</c:v>
                </c:pt>
                <c:pt idx="24">
                  <c:v>0.02890095021843384</c:v>
                </c:pt>
                <c:pt idx="25">
                  <c:v>0.030451032490083532</c:v>
                </c:pt>
                <c:pt idx="26">
                  <c:v>0.03284812871904184</c:v>
                </c:pt>
                <c:pt idx="27">
                  <c:v>0.03370239172133179</c:v>
                </c:pt>
                <c:pt idx="28">
                  <c:v>0.03403619579212546</c:v>
                </c:pt>
                <c:pt idx="29">
                  <c:v>0.032639240485063135</c:v>
                </c:pt>
                <c:pt idx="30">
                  <c:v>0.031535866489471334</c:v>
                </c:pt>
                <c:pt idx="31">
                  <c:v>0.029530130921603434</c:v>
                </c:pt>
                <c:pt idx="32">
                  <c:v>0.0281800459977674</c:v>
                </c:pt>
                <c:pt idx="33">
                  <c:v>0.028210231177583967</c:v>
                </c:pt>
                <c:pt idx="34">
                  <c:v>0.02814482183517589</c:v>
                </c:pt>
                <c:pt idx="35">
                  <c:v>0.02631137281933638</c:v>
                </c:pt>
                <c:pt idx="36">
                  <c:v>0.023290885917046547</c:v>
                </c:pt>
                <c:pt idx="37">
                  <c:v>0.020169322208085608</c:v>
                </c:pt>
                <c:pt idx="38">
                  <c:v>0.01758129516848947</c:v>
                </c:pt>
                <c:pt idx="39">
                  <c:v>0.014123060250927128</c:v>
                </c:pt>
                <c:pt idx="40">
                  <c:v>0.010346141748588803</c:v>
                </c:pt>
              </c:numCache>
            </c:numRef>
          </c:val>
          <c:smooth val="0"/>
        </c:ser>
        <c:axId val="23479933"/>
        <c:axId val="9992806"/>
      </c:lineChart>
      <c:catAx>
        <c:axId val="23479933"/>
        <c:scaling>
          <c:orientation val="minMax"/>
        </c:scaling>
        <c:axPos val="b"/>
        <c:delete val="0"/>
        <c:numFmt formatCode="General" sourceLinked="1"/>
        <c:majorTickMark val="out"/>
        <c:minorTickMark val="none"/>
        <c:tickLblPos val="nextTo"/>
        <c:crossAx val="9992806"/>
        <c:crosses val="autoZero"/>
        <c:auto val="1"/>
        <c:lblOffset val="100"/>
        <c:noMultiLvlLbl val="0"/>
      </c:catAx>
      <c:valAx>
        <c:axId val="9992806"/>
        <c:scaling>
          <c:orientation val="minMax"/>
          <c:max val="0.07"/>
          <c:min val="0"/>
        </c:scaling>
        <c:axPos val="l"/>
        <c:title>
          <c:tx>
            <c:rich>
              <a:bodyPr vert="horz" rot="-5400000" anchor="ctr"/>
              <a:lstStyle/>
              <a:p>
                <a:pPr algn="ctr">
                  <a:defRPr/>
                </a:pPr>
                <a:r>
                  <a:rPr lang="en-US"/>
                  <a:t>11-year average annual growth rate</a:t>
                </a:r>
              </a:p>
            </c:rich>
          </c:tx>
          <c:layout>
            <c:manualLayout>
              <c:xMode val="factor"/>
              <c:yMode val="factor"/>
              <c:x val="-0.004"/>
              <c:y val="-0.00125"/>
            </c:manualLayout>
          </c:layout>
          <c:overlay val="0"/>
          <c:spPr>
            <a:noFill/>
            <a:ln>
              <a:noFill/>
            </a:ln>
          </c:spPr>
        </c:title>
        <c:delete val="0"/>
        <c:numFmt formatCode="0.00" sourceLinked="0"/>
        <c:majorTickMark val="out"/>
        <c:minorTickMark val="none"/>
        <c:tickLblPos val="nextTo"/>
        <c:crossAx val="23479933"/>
        <c:crossesAt val="1"/>
        <c:crossBetween val="midCat"/>
        <c:dispUnits/>
        <c:majorUnit val="0.01"/>
      </c:valAx>
      <c:spPr>
        <a:noFill/>
        <a:ln>
          <a:noFill/>
        </a:ln>
      </c:spPr>
    </c:plotArea>
    <c:legend>
      <c:legendPos val="r"/>
      <c:layout>
        <c:manualLayout>
          <c:xMode val="edge"/>
          <c:yMode val="edge"/>
          <c:x val="0.58375"/>
          <c:y val="0.1222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EU-15</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gdp_pc_oecd_long_past!$X$18:$X$58</c:f>
              <c:numCache>
                <c:ptCount val="41"/>
                <c:pt idx="0">
                  <c:v>0.03602746815432486</c:v>
                </c:pt>
                <c:pt idx="1">
                  <c:v>0.03610021206502349</c:v>
                </c:pt>
                <c:pt idx="2">
                  <c:v>0.03884545149642312</c:v>
                </c:pt>
                <c:pt idx="3">
                  <c:v>0.03825135657193854</c:v>
                </c:pt>
                <c:pt idx="4">
                  <c:v>0.037409208688645675</c:v>
                </c:pt>
                <c:pt idx="5">
                  <c:v>0.0371025044804992</c:v>
                </c:pt>
                <c:pt idx="6">
                  <c:v>0.03862146159715726</c:v>
                </c:pt>
                <c:pt idx="7">
                  <c:v>0.03988949000346222</c:v>
                </c:pt>
                <c:pt idx="8">
                  <c:v>0.04190599914746653</c:v>
                </c:pt>
                <c:pt idx="9">
                  <c:v>0.04163656271490672</c:v>
                </c:pt>
                <c:pt idx="10">
                  <c:v>0.040673439385581635</c:v>
                </c:pt>
                <c:pt idx="11">
                  <c:v>0.04128809798301013</c:v>
                </c:pt>
                <c:pt idx="12">
                  <c:v>0.039507833157942436</c:v>
                </c:pt>
                <c:pt idx="13">
                  <c:v>0.035138679522112005</c:v>
                </c:pt>
                <c:pt idx="14">
                  <c:v>0.033944130190463</c:v>
                </c:pt>
                <c:pt idx="15">
                  <c:v>0.03339253685829029</c:v>
                </c:pt>
                <c:pt idx="16">
                  <c:v>0.03292581174352547</c:v>
                </c:pt>
                <c:pt idx="17">
                  <c:v>0.032364508295553145</c:v>
                </c:pt>
                <c:pt idx="18">
                  <c:v>0.029354036440197535</c:v>
                </c:pt>
                <c:pt idx="19">
                  <c:v>0.025120110713551927</c:v>
                </c:pt>
                <c:pt idx="20">
                  <c:v>0.02301221483420504</c:v>
                </c:pt>
                <c:pt idx="21">
                  <c:v>0.022046435057718153</c:v>
                </c:pt>
                <c:pt idx="22">
                  <c:v>0.020410718021073027</c:v>
                </c:pt>
                <c:pt idx="23">
                  <c:v>0.01761537024166009</c:v>
                </c:pt>
                <c:pt idx="24">
                  <c:v>0.018178273040482917</c:v>
                </c:pt>
                <c:pt idx="25">
                  <c:v>0.02137189010854434</c:v>
                </c:pt>
                <c:pt idx="26">
                  <c:v>0.021592435323001407</c:v>
                </c:pt>
                <c:pt idx="27">
                  <c:v>0.02218177574605897</c:v>
                </c:pt>
                <c:pt idx="28">
                  <c:v>0.02154580174774162</c:v>
                </c:pt>
                <c:pt idx="29">
                  <c:v>0.019322046296764123</c:v>
                </c:pt>
                <c:pt idx="30">
                  <c:v>0.018708933887226938</c:v>
                </c:pt>
                <c:pt idx="31">
                  <c:v>0.01847164221813579</c:v>
                </c:pt>
                <c:pt idx="32">
                  <c:v>0.01960157849767825</c:v>
                </c:pt>
                <c:pt idx="33">
                  <c:v>0.02026000565930199</c:v>
                </c:pt>
                <c:pt idx="34">
                  <c:v>0.020079198424910353</c:v>
                </c:pt>
                <c:pt idx="35">
                  <c:v>0.020421319273816706</c:v>
                </c:pt>
                <c:pt idx="36">
                  <c:v>0.02060850468172806</c:v>
                </c:pt>
                <c:pt idx="37">
                  <c:v>0.02040247754982066</c:v>
                </c:pt>
                <c:pt idx="38">
                  <c:v>0.019940011882447418</c:v>
                </c:pt>
                <c:pt idx="39">
                  <c:v>0.018772074228708083</c:v>
                </c:pt>
                <c:pt idx="40">
                  <c:v>0.0180745986041054</c:v>
                </c:pt>
              </c:numCache>
            </c:numRef>
          </c:val>
          <c:smooth val="0"/>
        </c:ser>
        <c:ser>
          <c:idx val="1"/>
          <c:order val="1"/>
          <c:tx>
            <c:v>US</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gdp_pc_oecd_long_past!$Y$18:$Y$58</c:f>
              <c:numCache>
                <c:ptCount val="41"/>
                <c:pt idx="0">
                  <c:v>0.018828223950704704</c:v>
                </c:pt>
                <c:pt idx="1">
                  <c:v>0.01635337244440497</c:v>
                </c:pt>
                <c:pt idx="2">
                  <c:v>0.01832087394105529</c:v>
                </c:pt>
                <c:pt idx="3">
                  <c:v>0.020136715312382213</c:v>
                </c:pt>
                <c:pt idx="4">
                  <c:v>0.026566502473126516</c:v>
                </c:pt>
                <c:pt idx="5">
                  <c:v>0.023399243285525204</c:v>
                </c:pt>
                <c:pt idx="6">
                  <c:v>0.026364986435767245</c:v>
                </c:pt>
                <c:pt idx="7">
                  <c:v>0.02809580922937219</c:v>
                </c:pt>
                <c:pt idx="8">
                  <c:v>0.029483663735184476</c:v>
                </c:pt>
                <c:pt idx="9">
                  <c:v>0.02630475043677454</c:v>
                </c:pt>
                <c:pt idx="10">
                  <c:v>0.02905778074771846</c:v>
                </c:pt>
                <c:pt idx="11">
                  <c:v>0.03241523632924646</c:v>
                </c:pt>
                <c:pt idx="12">
                  <c:v>0.027748046371193335</c:v>
                </c:pt>
                <c:pt idx="13">
                  <c:v>0.024337371394739616</c:v>
                </c:pt>
                <c:pt idx="14">
                  <c:v>0.02426672906267095</c:v>
                </c:pt>
                <c:pt idx="15">
                  <c:v>0.022954437751613963</c:v>
                </c:pt>
                <c:pt idx="16">
                  <c:v>0.02234099635716537</c:v>
                </c:pt>
                <c:pt idx="17">
                  <c:v>0.023071123368206225</c:v>
                </c:pt>
                <c:pt idx="18">
                  <c:v>0.019031737676688105</c:v>
                </c:pt>
                <c:pt idx="19">
                  <c:v>0.018505240403928494</c:v>
                </c:pt>
                <c:pt idx="20">
                  <c:v>0.016982032975812234</c:v>
                </c:pt>
                <c:pt idx="21">
                  <c:v>0.01816624519382145</c:v>
                </c:pt>
                <c:pt idx="22">
                  <c:v>0.019980161467485026</c:v>
                </c:pt>
                <c:pt idx="23">
                  <c:v>0.01854643494815038</c:v>
                </c:pt>
                <c:pt idx="24">
                  <c:v>0.02162212554206352</c:v>
                </c:pt>
                <c:pt idx="25">
                  <c:v>0.024835939587081163</c:v>
                </c:pt>
                <c:pt idx="26">
                  <c:v>0.024019631816594226</c:v>
                </c:pt>
                <c:pt idx="27">
                  <c:v>0.023189798265028736</c:v>
                </c:pt>
                <c:pt idx="28">
                  <c:v>0.01987458102656495</c:v>
                </c:pt>
                <c:pt idx="29">
                  <c:v>0.01647248084119631</c:v>
                </c:pt>
                <c:pt idx="30">
                  <c:v>0.018828963895179237</c:v>
                </c:pt>
                <c:pt idx="31">
                  <c:v>0.018703073396933622</c:v>
                </c:pt>
                <c:pt idx="32">
                  <c:v>0.023397681132591094</c:v>
                </c:pt>
                <c:pt idx="33">
                  <c:v>0.02193923886201141</c:v>
                </c:pt>
                <c:pt idx="34">
                  <c:v>0.01865174473109042</c:v>
                </c:pt>
                <c:pt idx="35">
                  <c:v>0.018901889193465745</c:v>
                </c:pt>
                <c:pt idx="36">
                  <c:v>0.019287448785939302</c:v>
                </c:pt>
                <c:pt idx="37">
                  <c:v>0.01983963342911119</c:v>
                </c:pt>
                <c:pt idx="38">
                  <c:v>0.019236798680347007</c:v>
                </c:pt>
                <c:pt idx="39">
                  <c:v>0.01679525361672772</c:v>
                </c:pt>
                <c:pt idx="40">
                  <c:v>0.017327424936867536</c:v>
                </c:pt>
              </c:numCache>
            </c:numRef>
          </c:val>
          <c:smooth val="0"/>
        </c:ser>
        <c:ser>
          <c:idx val="2"/>
          <c:order val="2"/>
          <c:tx>
            <c:v>Japan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gdp_pc_oecd_long_past!$Z$18:$Z$58</c:f>
              <c:numCache>
                <c:ptCount val="41"/>
                <c:pt idx="14">
                  <c:v>0.0628546494576313</c:v>
                </c:pt>
                <c:pt idx="15">
                  <c:v>0.06176394529841522</c:v>
                </c:pt>
                <c:pt idx="16">
                  <c:v>0.05733175730358384</c:v>
                </c:pt>
                <c:pt idx="17">
                  <c:v>0.052876201296208326</c:v>
                </c:pt>
                <c:pt idx="18">
                  <c:v>0.0448695726995515</c:v>
                </c:pt>
                <c:pt idx="19">
                  <c:v>0.037598617202567935</c:v>
                </c:pt>
                <c:pt idx="20">
                  <c:v>0.0316740713222119</c:v>
                </c:pt>
                <c:pt idx="21">
                  <c:v>0.030226905302363303</c:v>
                </c:pt>
                <c:pt idx="22">
                  <c:v>0.027184873715673786</c:v>
                </c:pt>
                <c:pt idx="23">
                  <c:v>0.024900971000206135</c:v>
                </c:pt>
                <c:pt idx="24">
                  <c:v>0.02890095021843384</c:v>
                </c:pt>
                <c:pt idx="25">
                  <c:v>0.030451032490083532</c:v>
                </c:pt>
                <c:pt idx="26">
                  <c:v>0.03284812871904184</c:v>
                </c:pt>
                <c:pt idx="27">
                  <c:v>0.03370239172133179</c:v>
                </c:pt>
                <c:pt idx="28">
                  <c:v>0.03403619579212546</c:v>
                </c:pt>
                <c:pt idx="29">
                  <c:v>0.032639240485063135</c:v>
                </c:pt>
                <c:pt idx="30">
                  <c:v>0.031535866489471334</c:v>
                </c:pt>
                <c:pt idx="31">
                  <c:v>0.029530130921603434</c:v>
                </c:pt>
                <c:pt idx="32">
                  <c:v>0.0281800459977674</c:v>
                </c:pt>
                <c:pt idx="33">
                  <c:v>0.028210231177583967</c:v>
                </c:pt>
                <c:pt idx="34">
                  <c:v>0.02814482183517589</c:v>
                </c:pt>
                <c:pt idx="35">
                  <c:v>0.02631137281933638</c:v>
                </c:pt>
                <c:pt idx="36">
                  <c:v>0.023290885917046547</c:v>
                </c:pt>
                <c:pt idx="37">
                  <c:v>0.020169322208085608</c:v>
                </c:pt>
                <c:pt idx="38">
                  <c:v>0.01758129516848947</c:v>
                </c:pt>
                <c:pt idx="39">
                  <c:v>0.014123060250927128</c:v>
                </c:pt>
                <c:pt idx="40">
                  <c:v>0.010346141748588803</c:v>
                </c:pt>
              </c:numCache>
            </c:numRef>
          </c:val>
          <c:smooth val="0"/>
        </c:ser>
        <c:axId val="22826391"/>
        <c:axId val="4110928"/>
      </c:lineChart>
      <c:catAx>
        <c:axId val="22826391"/>
        <c:scaling>
          <c:orientation val="minMax"/>
        </c:scaling>
        <c:axPos val="b"/>
        <c:delete val="0"/>
        <c:numFmt formatCode="General" sourceLinked="1"/>
        <c:majorTickMark val="out"/>
        <c:minorTickMark val="none"/>
        <c:tickLblPos val="nextTo"/>
        <c:crossAx val="4110928"/>
        <c:crosses val="autoZero"/>
        <c:auto val="1"/>
        <c:lblOffset val="100"/>
        <c:noMultiLvlLbl val="0"/>
      </c:catAx>
      <c:valAx>
        <c:axId val="4110928"/>
        <c:scaling>
          <c:orientation val="minMax"/>
          <c:max val="0.07"/>
          <c:min val="-0.03"/>
        </c:scaling>
        <c:axPos val="l"/>
        <c:title>
          <c:tx>
            <c:rich>
              <a:bodyPr vert="horz" rot="-5400000" anchor="ctr"/>
              <a:lstStyle/>
              <a:p>
                <a:pPr algn="ctr">
                  <a:defRPr/>
                </a:pPr>
                <a:r>
                  <a:rPr lang="en-US" cap="none" sz="1000" b="1" i="0" u="none" baseline="0">
                    <a:latin typeface="Arial"/>
                    <a:ea typeface="Arial"/>
                    <a:cs typeface="Arial"/>
                  </a:rPr>
                  <a:t>11-year average annual growth rate</a:t>
                </a:r>
              </a:p>
            </c:rich>
          </c:tx>
          <c:layout/>
          <c:overlay val="0"/>
          <c:spPr>
            <a:noFill/>
            <a:ln>
              <a:noFill/>
            </a:ln>
          </c:spPr>
        </c:title>
        <c:delete val="0"/>
        <c:numFmt formatCode="0.00" sourceLinked="0"/>
        <c:majorTickMark val="out"/>
        <c:minorTickMark val="none"/>
        <c:tickLblPos val="nextTo"/>
        <c:crossAx val="22826391"/>
        <c:crossesAt val="1"/>
        <c:crossBetween val="midCat"/>
        <c:dispUnits/>
        <c:majorUnit val="0.01"/>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
          <c:w val="0.95125"/>
          <c:h val="1"/>
        </c:manualLayout>
      </c:layout>
      <c:lineChart>
        <c:grouping val="standard"/>
        <c:varyColors val="0"/>
        <c:ser>
          <c:idx val="0"/>
          <c:order val="0"/>
          <c:tx>
            <c:v>Bulgaria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gdp_pc_ceec_long_past!$L$18:$L$58</c:f>
              <c:numCache>
                <c:ptCount val="41"/>
                <c:pt idx="0">
                  <c:v>0.06121034520948813</c:v>
                </c:pt>
                <c:pt idx="1">
                  <c:v>0.04727450585160511</c:v>
                </c:pt>
                <c:pt idx="2">
                  <c:v>0.057107604616590764</c:v>
                </c:pt>
                <c:pt idx="3">
                  <c:v>0.05305231728064227</c:v>
                </c:pt>
                <c:pt idx="4">
                  <c:v>0.06142504927296313</c:v>
                </c:pt>
                <c:pt idx="5">
                  <c:v>0.06028706937785827</c:v>
                </c:pt>
                <c:pt idx="6">
                  <c:v>0.06198547173915212</c:v>
                </c:pt>
                <c:pt idx="7">
                  <c:v>0.057450354803724346</c:v>
                </c:pt>
                <c:pt idx="8">
                  <c:v>0.0552656084735045</c:v>
                </c:pt>
                <c:pt idx="9">
                  <c:v>0.05168285429600578</c:v>
                </c:pt>
                <c:pt idx="10">
                  <c:v>0.04813898162886852</c:v>
                </c:pt>
                <c:pt idx="11">
                  <c:v>0.04639240874498444</c:v>
                </c:pt>
                <c:pt idx="12">
                  <c:v>0.0423781030694246</c:v>
                </c:pt>
                <c:pt idx="13">
                  <c:v>0.045691762913391616</c:v>
                </c:pt>
                <c:pt idx="14">
                  <c:v>0.042014202568000335</c:v>
                </c:pt>
                <c:pt idx="15">
                  <c:v>0.036432628968963</c:v>
                </c:pt>
                <c:pt idx="16">
                  <c:v>0.03221230752360877</c:v>
                </c:pt>
                <c:pt idx="17">
                  <c:v>0.03140993093794271</c:v>
                </c:pt>
                <c:pt idx="18">
                  <c:v>0.027793595927150305</c:v>
                </c:pt>
                <c:pt idx="19">
                  <c:v>0.02637009670410245</c:v>
                </c:pt>
                <c:pt idx="20">
                  <c:v>0.024674531679100626</c:v>
                </c:pt>
                <c:pt idx="21">
                  <c:v>0.020688284286887446</c:v>
                </c:pt>
                <c:pt idx="22">
                  <c:v>0.01972940239805324</c:v>
                </c:pt>
                <c:pt idx="23">
                  <c:v>0.014238524924913143</c:v>
                </c:pt>
                <c:pt idx="24">
                  <c:v>0.01425446257362426</c:v>
                </c:pt>
                <c:pt idx="25">
                  <c:v>0.007870998703555896</c:v>
                </c:pt>
                <c:pt idx="26">
                  <c:v>0.0050969180273338945</c:v>
                </c:pt>
                <c:pt idx="27">
                  <c:v>0.004724220425860672</c:v>
                </c:pt>
                <c:pt idx="28">
                  <c:v>-0.0053158006968179</c:v>
                </c:pt>
                <c:pt idx="29">
                  <c:v>-0.014349784263484757</c:v>
                </c:pt>
                <c:pt idx="30">
                  <c:v>-0.01675184335639802</c:v>
                </c:pt>
                <c:pt idx="31">
                  <c:v>-0.017788351316290616</c:v>
                </c:pt>
                <c:pt idx="32">
                  <c:v>-0.017906343807741875</c:v>
                </c:pt>
                <c:pt idx="33">
                  <c:v>-0.012894001157191484</c:v>
                </c:pt>
                <c:pt idx="34">
                  <c:v>-0.022476665255221646</c:v>
                </c:pt>
                <c:pt idx="35">
                  <c:v>-0.023503328605652195</c:v>
                </c:pt>
                <c:pt idx="36">
                  <c:v>-0.021179202549401425</c:v>
                </c:pt>
                <c:pt idx="37">
                  <c:v>-0.018299301397035075</c:v>
                </c:pt>
                <c:pt idx="38">
                  <c:v>-0.012161532066068246</c:v>
                </c:pt>
                <c:pt idx="39">
                  <c:v>-0.006099864031841737</c:v>
                </c:pt>
                <c:pt idx="40">
                  <c:v>0.00706027337139116</c:v>
                </c:pt>
              </c:numCache>
            </c:numRef>
          </c:val>
          <c:smooth val="0"/>
        </c:ser>
        <c:ser>
          <c:idx val="1"/>
          <c:order val="1"/>
          <c:tx>
            <c:v>Czechoslovakia</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gdp_pc_ceec_long_past!$M$18:$M$58</c:f>
              <c:numCache>
                <c:ptCount val="41"/>
                <c:pt idx="0">
                  <c:v>0.03556681493190394</c:v>
                </c:pt>
                <c:pt idx="1">
                  <c:v>0.03291217058207952</c:v>
                </c:pt>
                <c:pt idx="2">
                  <c:v>0.034432688139507214</c:v>
                </c:pt>
                <c:pt idx="3">
                  <c:v>0.038155707320077115</c:v>
                </c:pt>
                <c:pt idx="4">
                  <c:v>0.03876323150256989</c:v>
                </c:pt>
                <c:pt idx="5">
                  <c:v>0.03584057864715397</c:v>
                </c:pt>
                <c:pt idx="6">
                  <c:v>0.035450077262839406</c:v>
                </c:pt>
                <c:pt idx="7">
                  <c:v>0.032958285805006184</c:v>
                </c:pt>
                <c:pt idx="8">
                  <c:v>0.02883450955804638</c:v>
                </c:pt>
                <c:pt idx="9">
                  <c:v>0.02823829484202786</c:v>
                </c:pt>
                <c:pt idx="10">
                  <c:v>0.025015570041733146</c:v>
                </c:pt>
                <c:pt idx="11">
                  <c:v>0.024706085715838304</c:v>
                </c:pt>
                <c:pt idx="12">
                  <c:v>0.026455489927401668</c:v>
                </c:pt>
                <c:pt idx="13">
                  <c:v>0.030360945921342305</c:v>
                </c:pt>
                <c:pt idx="14">
                  <c:v>0.027788985886227763</c:v>
                </c:pt>
                <c:pt idx="15">
                  <c:v>0.028457081087790433</c:v>
                </c:pt>
                <c:pt idx="16">
                  <c:v>0.025787225224740907</c:v>
                </c:pt>
                <c:pt idx="17">
                  <c:v>0.022732977034548057</c:v>
                </c:pt>
                <c:pt idx="18">
                  <c:v>0.021021287641642072</c:v>
                </c:pt>
                <c:pt idx="19">
                  <c:v>0.018535629558269495</c:v>
                </c:pt>
                <c:pt idx="20">
                  <c:v>0.01846142507699983</c:v>
                </c:pt>
                <c:pt idx="21">
                  <c:v>0.017040851750734904</c:v>
                </c:pt>
                <c:pt idx="22">
                  <c:v>0.01629876282739487</c:v>
                </c:pt>
                <c:pt idx="23">
                  <c:v>0.01455480598419498</c:v>
                </c:pt>
                <c:pt idx="24">
                  <c:v>0.013564251952844804</c:v>
                </c:pt>
                <c:pt idx="25">
                  <c:v>0.012023256501292824</c:v>
                </c:pt>
                <c:pt idx="26">
                  <c:v>0.013036102882195165</c:v>
                </c:pt>
                <c:pt idx="27">
                  <c:v>0.010447320397940892</c:v>
                </c:pt>
                <c:pt idx="28">
                  <c:v>0.007560587664748444</c:v>
                </c:pt>
                <c:pt idx="29">
                  <c:v>-0.0030830726204927107</c:v>
                </c:pt>
                <c:pt idx="30">
                  <c:v>-0.006932290302770348</c:v>
                </c:pt>
                <c:pt idx="31">
                  <c:v>-0.005914526002469374</c:v>
                </c:pt>
                <c:pt idx="32">
                  <c:v>-0.004707547188846396</c:v>
                </c:pt>
                <c:pt idx="33">
                  <c:v>-0.0008938118908603052</c:v>
                </c:pt>
                <c:pt idx="34">
                  <c:v>0.0013553622219251236</c:v>
                </c:pt>
                <c:pt idx="35">
                  <c:v>0.0015096000172321437</c:v>
                </c:pt>
                <c:pt idx="36">
                  <c:v>0.0005348831752968916</c:v>
                </c:pt>
                <c:pt idx="37">
                  <c:v>0.0009294598558802309</c:v>
                </c:pt>
                <c:pt idx="38">
                  <c:v>0.001630346083712269</c:v>
                </c:pt>
                <c:pt idx="39">
                  <c:v>0.00373471520938713</c:v>
                </c:pt>
                <c:pt idx="40">
                  <c:v>0.008450198000509073</c:v>
                </c:pt>
              </c:numCache>
            </c:numRef>
          </c:val>
          <c:smooth val="0"/>
        </c:ser>
        <c:ser>
          <c:idx val="2"/>
          <c:order val="2"/>
          <c:tx>
            <c:v>Hungary</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gdp_pc_ceec_long_past!$N$18:$N$58</c:f>
              <c:numCache>
                <c:ptCount val="41"/>
                <c:pt idx="0">
                  <c:v>0.04050917582507788</c:v>
                </c:pt>
                <c:pt idx="1">
                  <c:v>0.037612664269573194</c:v>
                </c:pt>
                <c:pt idx="2">
                  <c:v>0.03994631870348945</c:v>
                </c:pt>
                <c:pt idx="3">
                  <c:v>0.03964539662264479</c:v>
                </c:pt>
                <c:pt idx="4">
                  <c:v>0.0421805345771265</c:v>
                </c:pt>
                <c:pt idx="5">
                  <c:v>0.04019471149759005</c:v>
                </c:pt>
                <c:pt idx="6">
                  <c:v>0.04534032169713864</c:v>
                </c:pt>
                <c:pt idx="7">
                  <c:v>0.03994203293683702</c:v>
                </c:pt>
                <c:pt idx="8">
                  <c:v>0.034183257260433454</c:v>
                </c:pt>
                <c:pt idx="9">
                  <c:v>0.03476969443561847</c:v>
                </c:pt>
                <c:pt idx="10">
                  <c:v>0.03237657491061406</c:v>
                </c:pt>
                <c:pt idx="11">
                  <c:v>0.032616649121710244</c:v>
                </c:pt>
                <c:pt idx="12">
                  <c:v>0.03122791905213732</c:v>
                </c:pt>
                <c:pt idx="13">
                  <c:v>0.02819635123921922</c:v>
                </c:pt>
                <c:pt idx="14">
                  <c:v>0.023587695811458757</c:v>
                </c:pt>
                <c:pt idx="15">
                  <c:v>0.0280064822232768</c:v>
                </c:pt>
                <c:pt idx="16">
                  <c:v>0.02526497999206369</c:v>
                </c:pt>
                <c:pt idx="17">
                  <c:v>0.020790306916576424</c:v>
                </c:pt>
                <c:pt idx="18">
                  <c:v>0.020845450952890383</c:v>
                </c:pt>
                <c:pt idx="19">
                  <c:v>0.01926534256747515</c:v>
                </c:pt>
                <c:pt idx="20">
                  <c:v>0.022882099420801594</c:v>
                </c:pt>
                <c:pt idx="21">
                  <c:v>0.01866608545167617</c:v>
                </c:pt>
                <c:pt idx="22">
                  <c:v>0.019465395381296973</c:v>
                </c:pt>
                <c:pt idx="23">
                  <c:v>0.01350779059903756</c:v>
                </c:pt>
                <c:pt idx="24">
                  <c:v>0.013529859625842251</c:v>
                </c:pt>
                <c:pt idx="25">
                  <c:v>0.013664580081749788</c:v>
                </c:pt>
                <c:pt idx="26">
                  <c:v>0.016516221982048215</c:v>
                </c:pt>
                <c:pt idx="27">
                  <c:v>0.01017104485864502</c:v>
                </c:pt>
                <c:pt idx="28">
                  <c:v>0.0030795271972185894</c:v>
                </c:pt>
                <c:pt idx="29">
                  <c:v>-0.0067548061953015895</c:v>
                </c:pt>
                <c:pt idx="30">
                  <c:v>-0.009921996949940502</c:v>
                </c:pt>
                <c:pt idx="31">
                  <c:v>-0.010827028066849908</c:v>
                </c:pt>
                <c:pt idx="32">
                  <c:v>-0.011288494274817956</c:v>
                </c:pt>
                <c:pt idx="33">
                  <c:v>-0.009177194940675669</c:v>
                </c:pt>
                <c:pt idx="34">
                  <c:v>-0.010229994814831604</c:v>
                </c:pt>
                <c:pt idx="35">
                  <c:v>-0.004272131792676632</c:v>
                </c:pt>
                <c:pt idx="36">
                  <c:v>-0.0017490271415597305</c:v>
                </c:pt>
                <c:pt idx="37">
                  <c:v>0.0006082246298297154</c:v>
                </c:pt>
                <c:pt idx="38">
                  <c:v>0.002592001412302644</c:v>
                </c:pt>
                <c:pt idx="39">
                  <c:v>0.007607864793208702</c:v>
                </c:pt>
                <c:pt idx="40">
                  <c:v>0.01603636407468006</c:v>
                </c:pt>
              </c:numCache>
            </c:numRef>
          </c:val>
          <c:smooth val="0"/>
        </c:ser>
        <c:ser>
          <c:idx val="3"/>
          <c:order val="3"/>
          <c:tx>
            <c:v>Poland</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gdp_pc_ceec_long_past!$O$18:$O$58</c:f>
              <c:numCache>
                <c:ptCount val="41"/>
                <c:pt idx="0">
                  <c:v>0.0265021939360677</c:v>
                </c:pt>
                <c:pt idx="1">
                  <c:v>0.02838300132374864</c:v>
                </c:pt>
                <c:pt idx="2">
                  <c:v>0.03086158918107557</c:v>
                </c:pt>
                <c:pt idx="3">
                  <c:v>0.03146918055689755</c:v>
                </c:pt>
                <c:pt idx="4">
                  <c:v>0.03287868771655931</c:v>
                </c:pt>
                <c:pt idx="5">
                  <c:v>0.03278160325839088</c:v>
                </c:pt>
                <c:pt idx="6">
                  <c:v>0.03505371579029671</c:v>
                </c:pt>
                <c:pt idx="7">
                  <c:v>0.030714248734625155</c:v>
                </c:pt>
                <c:pt idx="8">
                  <c:v>0.03171705896846619</c:v>
                </c:pt>
                <c:pt idx="9">
                  <c:v>0.035899704651095814</c:v>
                </c:pt>
                <c:pt idx="10">
                  <c:v>0.03807318299232597</c:v>
                </c:pt>
                <c:pt idx="11">
                  <c:v>0.03807462036742891</c:v>
                </c:pt>
                <c:pt idx="12">
                  <c:v>0.04423282331874646</c:v>
                </c:pt>
                <c:pt idx="13">
                  <c:v>0.043278595224383286</c:v>
                </c:pt>
                <c:pt idx="14">
                  <c:v>0.04169177437668503</c:v>
                </c:pt>
                <c:pt idx="15">
                  <c:v>0.03865949640299272</c:v>
                </c:pt>
                <c:pt idx="16">
                  <c:v>0.03641970187172396</c:v>
                </c:pt>
                <c:pt idx="17">
                  <c:v>0.031790198707842394</c:v>
                </c:pt>
                <c:pt idx="18">
                  <c:v>0.02459674250042278</c:v>
                </c:pt>
                <c:pt idx="19">
                  <c:v>0.020918489882917755</c:v>
                </c:pt>
                <c:pt idx="20">
                  <c:v>0.015752561032189732</c:v>
                </c:pt>
                <c:pt idx="21">
                  <c:v>0.013797595627761281</c:v>
                </c:pt>
                <c:pt idx="22">
                  <c:v>0.010753731027394473</c:v>
                </c:pt>
                <c:pt idx="23">
                  <c:v>0.005414733806581036</c:v>
                </c:pt>
                <c:pt idx="24">
                  <c:v>0.003344419726215672</c:v>
                </c:pt>
                <c:pt idx="25">
                  <c:v>-0.0013721868167860618</c:v>
                </c:pt>
                <c:pt idx="26">
                  <c:v>-0.0010710301767304752</c:v>
                </c:pt>
                <c:pt idx="27">
                  <c:v>-0.0033502427486518777</c:v>
                </c:pt>
                <c:pt idx="28">
                  <c:v>-0.013974914073908667</c:v>
                </c:pt>
                <c:pt idx="29">
                  <c:v>-0.017790891470743156</c:v>
                </c:pt>
                <c:pt idx="30">
                  <c:v>-0.013120827518645621</c:v>
                </c:pt>
                <c:pt idx="31">
                  <c:v>-0.005078041068972831</c:v>
                </c:pt>
                <c:pt idx="32">
                  <c:v>0.000647119337219627</c:v>
                </c:pt>
                <c:pt idx="33">
                  <c:v>0.0030204446185742363</c:v>
                </c:pt>
                <c:pt idx="34">
                  <c:v>0.00566038247701684</c:v>
                </c:pt>
                <c:pt idx="35">
                  <c:v>0.011149716956005515</c:v>
                </c:pt>
                <c:pt idx="36">
                  <c:v>0.013164077602170518</c:v>
                </c:pt>
                <c:pt idx="37">
                  <c:v>0.01818460264530999</c:v>
                </c:pt>
                <c:pt idx="38">
                  <c:v>0.019971497410565673</c:v>
                </c:pt>
                <c:pt idx="39">
                  <c:v>0.02238220537076416</c:v>
                </c:pt>
                <c:pt idx="40">
                  <c:v>0.03182487294201142</c:v>
                </c:pt>
              </c:numCache>
            </c:numRef>
          </c:val>
          <c:smooth val="0"/>
        </c:ser>
        <c:axId val="36998353"/>
        <c:axId val="64549722"/>
      </c:lineChart>
      <c:catAx>
        <c:axId val="36998353"/>
        <c:scaling>
          <c:orientation val="minMax"/>
        </c:scaling>
        <c:axPos val="b"/>
        <c:delete val="0"/>
        <c:numFmt formatCode="General" sourceLinked="1"/>
        <c:majorTickMark val="out"/>
        <c:minorTickMark val="none"/>
        <c:tickLblPos val="nextTo"/>
        <c:crossAx val="64549722"/>
        <c:crosses val="autoZero"/>
        <c:auto val="1"/>
        <c:lblOffset val="100"/>
        <c:noMultiLvlLbl val="0"/>
      </c:catAx>
      <c:valAx>
        <c:axId val="64549722"/>
        <c:scaling>
          <c:orientation val="minMax"/>
          <c:max val="0.07"/>
          <c:min val="-0.03"/>
        </c:scaling>
        <c:axPos val="l"/>
        <c:title>
          <c:tx>
            <c:rich>
              <a:bodyPr vert="horz" rot="-5400000" anchor="ctr"/>
              <a:lstStyle/>
              <a:p>
                <a:pPr algn="ctr">
                  <a:defRPr/>
                </a:pPr>
                <a:r>
                  <a:rPr lang="en-US"/>
                  <a:t>11-year average annual growth rate</a:t>
                </a:r>
              </a:p>
            </c:rich>
          </c:tx>
          <c:layout>
            <c:manualLayout>
              <c:xMode val="factor"/>
              <c:yMode val="factor"/>
              <c:x val="-0.00625"/>
              <c:y val="0.0075"/>
            </c:manualLayout>
          </c:layout>
          <c:overlay val="0"/>
          <c:spPr>
            <a:noFill/>
            <a:ln>
              <a:noFill/>
            </a:ln>
          </c:spPr>
        </c:title>
        <c:delete val="0"/>
        <c:numFmt formatCode="0.00" sourceLinked="0"/>
        <c:majorTickMark val="out"/>
        <c:minorTickMark val="none"/>
        <c:tickLblPos val="nextTo"/>
        <c:crossAx val="36998353"/>
        <c:crossesAt val="1"/>
        <c:crossBetween val="midCat"/>
        <c:dispUnits/>
        <c:majorUnit val="0.01"/>
      </c:valAx>
      <c:spPr>
        <a:noFill/>
        <a:ln>
          <a:noFill/>
        </a:ln>
      </c:spPr>
    </c:plotArea>
    <c:legend>
      <c:legendPos val="r"/>
      <c:layout>
        <c:manualLayout>
          <c:xMode val="edge"/>
          <c:yMode val="edge"/>
          <c:x val="0.62225"/>
          <c:y val="0"/>
          <c:w val="0.3225"/>
          <c:h val="0.31"/>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Bulgaria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gdp_pc_ceec_long_past!$L$18:$L$58</c:f>
              <c:numCache>
                <c:ptCount val="41"/>
                <c:pt idx="0">
                  <c:v>0.06121034520948813</c:v>
                </c:pt>
                <c:pt idx="1">
                  <c:v>0.04727450585160511</c:v>
                </c:pt>
                <c:pt idx="2">
                  <c:v>0.057107604616590764</c:v>
                </c:pt>
                <c:pt idx="3">
                  <c:v>0.05305231728064227</c:v>
                </c:pt>
                <c:pt idx="4">
                  <c:v>0.06142504927296313</c:v>
                </c:pt>
                <c:pt idx="5">
                  <c:v>0.06028706937785827</c:v>
                </c:pt>
                <c:pt idx="6">
                  <c:v>0.06198547173915212</c:v>
                </c:pt>
                <c:pt idx="7">
                  <c:v>0.057450354803724346</c:v>
                </c:pt>
                <c:pt idx="8">
                  <c:v>0.0552656084735045</c:v>
                </c:pt>
                <c:pt idx="9">
                  <c:v>0.05168285429600578</c:v>
                </c:pt>
                <c:pt idx="10">
                  <c:v>0.04813898162886852</c:v>
                </c:pt>
                <c:pt idx="11">
                  <c:v>0.04639240874498444</c:v>
                </c:pt>
                <c:pt idx="12">
                  <c:v>0.0423781030694246</c:v>
                </c:pt>
                <c:pt idx="13">
                  <c:v>0.045691762913391616</c:v>
                </c:pt>
                <c:pt idx="14">
                  <c:v>0.042014202568000335</c:v>
                </c:pt>
                <c:pt idx="15">
                  <c:v>0.036432628968963</c:v>
                </c:pt>
                <c:pt idx="16">
                  <c:v>0.03221230752360877</c:v>
                </c:pt>
                <c:pt idx="17">
                  <c:v>0.03140993093794271</c:v>
                </c:pt>
                <c:pt idx="18">
                  <c:v>0.027793595927150305</c:v>
                </c:pt>
                <c:pt idx="19">
                  <c:v>0.02637009670410245</c:v>
                </c:pt>
                <c:pt idx="20">
                  <c:v>0.024674531679100626</c:v>
                </c:pt>
                <c:pt idx="21">
                  <c:v>0.020688284286887446</c:v>
                </c:pt>
                <c:pt idx="22">
                  <c:v>0.01972940239805324</c:v>
                </c:pt>
                <c:pt idx="23">
                  <c:v>0.014238524924913143</c:v>
                </c:pt>
                <c:pt idx="24">
                  <c:v>0.01425446257362426</c:v>
                </c:pt>
                <c:pt idx="25">
                  <c:v>0.007870998703555896</c:v>
                </c:pt>
                <c:pt idx="26">
                  <c:v>0.0050969180273338945</c:v>
                </c:pt>
                <c:pt idx="27">
                  <c:v>0.004724220425860672</c:v>
                </c:pt>
                <c:pt idx="28">
                  <c:v>-0.0053158006968179</c:v>
                </c:pt>
                <c:pt idx="29">
                  <c:v>-0.014349784263484757</c:v>
                </c:pt>
                <c:pt idx="30">
                  <c:v>-0.01675184335639802</c:v>
                </c:pt>
                <c:pt idx="31">
                  <c:v>-0.017788351316290616</c:v>
                </c:pt>
                <c:pt idx="32">
                  <c:v>-0.017906343807741875</c:v>
                </c:pt>
                <c:pt idx="33">
                  <c:v>-0.012894001157191484</c:v>
                </c:pt>
                <c:pt idx="34">
                  <c:v>-0.022476665255221646</c:v>
                </c:pt>
                <c:pt idx="35">
                  <c:v>-0.023503328605652195</c:v>
                </c:pt>
                <c:pt idx="36">
                  <c:v>-0.021179202549401425</c:v>
                </c:pt>
                <c:pt idx="37">
                  <c:v>-0.018299301397035075</c:v>
                </c:pt>
                <c:pt idx="38">
                  <c:v>-0.012161532066068246</c:v>
                </c:pt>
                <c:pt idx="39">
                  <c:v>-0.006099864031841737</c:v>
                </c:pt>
                <c:pt idx="40">
                  <c:v>0.00706027337139116</c:v>
                </c:pt>
              </c:numCache>
            </c:numRef>
          </c:val>
          <c:smooth val="0"/>
        </c:ser>
        <c:ser>
          <c:idx val="1"/>
          <c:order val="1"/>
          <c:tx>
            <c:v>Czechoslovakia</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gdp_pc_ceec_long_past!$M$18:$M$58</c:f>
              <c:numCache>
                <c:ptCount val="41"/>
                <c:pt idx="0">
                  <c:v>0.03556681493190394</c:v>
                </c:pt>
                <c:pt idx="1">
                  <c:v>0.03291217058207952</c:v>
                </c:pt>
                <c:pt idx="2">
                  <c:v>0.034432688139507214</c:v>
                </c:pt>
                <c:pt idx="3">
                  <c:v>0.038155707320077115</c:v>
                </c:pt>
                <c:pt idx="4">
                  <c:v>0.03876323150256989</c:v>
                </c:pt>
                <c:pt idx="5">
                  <c:v>0.03584057864715397</c:v>
                </c:pt>
                <c:pt idx="6">
                  <c:v>0.035450077262839406</c:v>
                </c:pt>
                <c:pt idx="7">
                  <c:v>0.032958285805006184</c:v>
                </c:pt>
                <c:pt idx="8">
                  <c:v>0.02883450955804638</c:v>
                </c:pt>
                <c:pt idx="9">
                  <c:v>0.02823829484202786</c:v>
                </c:pt>
                <c:pt idx="10">
                  <c:v>0.025015570041733146</c:v>
                </c:pt>
                <c:pt idx="11">
                  <c:v>0.024706085715838304</c:v>
                </c:pt>
                <c:pt idx="12">
                  <c:v>0.026455489927401668</c:v>
                </c:pt>
                <c:pt idx="13">
                  <c:v>0.030360945921342305</c:v>
                </c:pt>
                <c:pt idx="14">
                  <c:v>0.027788985886227763</c:v>
                </c:pt>
                <c:pt idx="15">
                  <c:v>0.028457081087790433</c:v>
                </c:pt>
                <c:pt idx="16">
                  <c:v>0.025787225224740907</c:v>
                </c:pt>
                <c:pt idx="17">
                  <c:v>0.022732977034548057</c:v>
                </c:pt>
                <c:pt idx="18">
                  <c:v>0.021021287641642072</c:v>
                </c:pt>
                <c:pt idx="19">
                  <c:v>0.018535629558269495</c:v>
                </c:pt>
                <c:pt idx="20">
                  <c:v>0.01846142507699983</c:v>
                </c:pt>
                <c:pt idx="21">
                  <c:v>0.017040851750734904</c:v>
                </c:pt>
                <c:pt idx="22">
                  <c:v>0.01629876282739487</c:v>
                </c:pt>
                <c:pt idx="23">
                  <c:v>0.01455480598419498</c:v>
                </c:pt>
                <c:pt idx="24">
                  <c:v>0.013564251952844804</c:v>
                </c:pt>
                <c:pt idx="25">
                  <c:v>0.012023256501292824</c:v>
                </c:pt>
                <c:pt idx="26">
                  <c:v>0.013036102882195165</c:v>
                </c:pt>
                <c:pt idx="27">
                  <c:v>0.010447320397940892</c:v>
                </c:pt>
                <c:pt idx="28">
                  <c:v>0.007560587664748444</c:v>
                </c:pt>
                <c:pt idx="29">
                  <c:v>-0.0030830726204927107</c:v>
                </c:pt>
                <c:pt idx="30">
                  <c:v>-0.006932290302770348</c:v>
                </c:pt>
                <c:pt idx="31">
                  <c:v>-0.005914526002469374</c:v>
                </c:pt>
                <c:pt idx="32">
                  <c:v>-0.004707547188846396</c:v>
                </c:pt>
                <c:pt idx="33">
                  <c:v>-0.0008938118908603052</c:v>
                </c:pt>
                <c:pt idx="34">
                  <c:v>0.0013553622219251236</c:v>
                </c:pt>
                <c:pt idx="35">
                  <c:v>0.0015096000172321437</c:v>
                </c:pt>
                <c:pt idx="36">
                  <c:v>0.0005348831752968916</c:v>
                </c:pt>
                <c:pt idx="37">
                  <c:v>0.0009294598558802309</c:v>
                </c:pt>
                <c:pt idx="38">
                  <c:v>0.001630346083712269</c:v>
                </c:pt>
                <c:pt idx="39">
                  <c:v>0.00373471520938713</c:v>
                </c:pt>
                <c:pt idx="40">
                  <c:v>0.008450198000509073</c:v>
                </c:pt>
              </c:numCache>
            </c:numRef>
          </c:val>
          <c:smooth val="0"/>
        </c:ser>
        <c:ser>
          <c:idx val="2"/>
          <c:order val="2"/>
          <c:tx>
            <c:v>Hungary</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gdp_pc_ceec_long_past!$N$18:$N$58</c:f>
              <c:numCache>
                <c:ptCount val="41"/>
                <c:pt idx="0">
                  <c:v>0.04050917582507788</c:v>
                </c:pt>
                <c:pt idx="1">
                  <c:v>0.037612664269573194</c:v>
                </c:pt>
                <c:pt idx="2">
                  <c:v>0.03994631870348945</c:v>
                </c:pt>
                <c:pt idx="3">
                  <c:v>0.03964539662264479</c:v>
                </c:pt>
                <c:pt idx="4">
                  <c:v>0.0421805345771265</c:v>
                </c:pt>
                <c:pt idx="5">
                  <c:v>0.04019471149759005</c:v>
                </c:pt>
                <c:pt idx="6">
                  <c:v>0.04534032169713864</c:v>
                </c:pt>
                <c:pt idx="7">
                  <c:v>0.03994203293683702</c:v>
                </c:pt>
                <c:pt idx="8">
                  <c:v>0.034183257260433454</c:v>
                </c:pt>
                <c:pt idx="9">
                  <c:v>0.03476969443561847</c:v>
                </c:pt>
                <c:pt idx="10">
                  <c:v>0.03237657491061406</c:v>
                </c:pt>
                <c:pt idx="11">
                  <c:v>0.032616649121710244</c:v>
                </c:pt>
                <c:pt idx="12">
                  <c:v>0.03122791905213732</c:v>
                </c:pt>
                <c:pt idx="13">
                  <c:v>0.02819635123921922</c:v>
                </c:pt>
                <c:pt idx="14">
                  <c:v>0.023587695811458757</c:v>
                </c:pt>
                <c:pt idx="15">
                  <c:v>0.0280064822232768</c:v>
                </c:pt>
                <c:pt idx="16">
                  <c:v>0.02526497999206369</c:v>
                </c:pt>
                <c:pt idx="17">
                  <c:v>0.020790306916576424</c:v>
                </c:pt>
                <c:pt idx="18">
                  <c:v>0.020845450952890383</c:v>
                </c:pt>
                <c:pt idx="19">
                  <c:v>0.01926534256747515</c:v>
                </c:pt>
                <c:pt idx="20">
                  <c:v>0.022882099420801594</c:v>
                </c:pt>
                <c:pt idx="21">
                  <c:v>0.01866608545167617</c:v>
                </c:pt>
                <c:pt idx="22">
                  <c:v>0.019465395381296973</c:v>
                </c:pt>
                <c:pt idx="23">
                  <c:v>0.01350779059903756</c:v>
                </c:pt>
                <c:pt idx="24">
                  <c:v>0.013529859625842251</c:v>
                </c:pt>
                <c:pt idx="25">
                  <c:v>0.013664580081749788</c:v>
                </c:pt>
                <c:pt idx="26">
                  <c:v>0.016516221982048215</c:v>
                </c:pt>
                <c:pt idx="27">
                  <c:v>0.01017104485864502</c:v>
                </c:pt>
                <c:pt idx="28">
                  <c:v>0.0030795271972185894</c:v>
                </c:pt>
                <c:pt idx="29">
                  <c:v>-0.0067548061953015895</c:v>
                </c:pt>
                <c:pt idx="30">
                  <c:v>-0.009921996949940502</c:v>
                </c:pt>
                <c:pt idx="31">
                  <c:v>-0.010827028066849908</c:v>
                </c:pt>
                <c:pt idx="32">
                  <c:v>-0.011288494274817956</c:v>
                </c:pt>
                <c:pt idx="33">
                  <c:v>-0.009177194940675669</c:v>
                </c:pt>
                <c:pt idx="34">
                  <c:v>-0.010229994814831604</c:v>
                </c:pt>
                <c:pt idx="35">
                  <c:v>-0.004272131792676632</c:v>
                </c:pt>
                <c:pt idx="36">
                  <c:v>-0.0017490271415597305</c:v>
                </c:pt>
                <c:pt idx="37">
                  <c:v>0.0006082246298297154</c:v>
                </c:pt>
                <c:pt idx="38">
                  <c:v>0.002592001412302644</c:v>
                </c:pt>
                <c:pt idx="39">
                  <c:v>0.007607864793208702</c:v>
                </c:pt>
                <c:pt idx="40">
                  <c:v>0.01603636407468006</c:v>
                </c:pt>
              </c:numCache>
            </c:numRef>
          </c:val>
          <c:smooth val="0"/>
        </c:ser>
        <c:ser>
          <c:idx val="3"/>
          <c:order val="3"/>
          <c:tx>
            <c:v>Poland</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gdp_pc_ceec_long_past!$O$18:$O$58</c:f>
              <c:numCache>
                <c:ptCount val="41"/>
                <c:pt idx="0">
                  <c:v>0.0265021939360677</c:v>
                </c:pt>
                <c:pt idx="1">
                  <c:v>0.02838300132374864</c:v>
                </c:pt>
                <c:pt idx="2">
                  <c:v>0.03086158918107557</c:v>
                </c:pt>
                <c:pt idx="3">
                  <c:v>0.03146918055689755</c:v>
                </c:pt>
                <c:pt idx="4">
                  <c:v>0.03287868771655931</c:v>
                </c:pt>
                <c:pt idx="5">
                  <c:v>0.03278160325839088</c:v>
                </c:pt>
                <c:pt idx="6">
                  <c:v>0.03505371579029671</c:v>
                </c:pt>
                <c:pt idx="7">
                  <c:v>0.030714248734625155</c:v>
                </c:pt>
                <c:pt idx="8">
                  <c:v>0.03171705896846619</c:v>
                </c:pt>
                <c:pt idx="9">
                  <c:v>0.035899704651095814</c:v>
                </c:pt>
                <c:pt idx="10">
                  <c:v>0.03807318299232597</c:v>
                </c:pt>
                <c:pt idx="11">
                  <c:v>0.03807462036742891</c:v>
                </c:pt>
                <c:pt idx="12">
                  <c:v>0.04423282331874646</c:v>
                </c:pt>
                <c:pt idx="13">
                  <c:v>0.043278595224383286</c:v>
                </c:pt>
                <c:pt idx="14">
                  <c:v>0.04169177437668503</c:v>
                </c:pt>
                <c:pt idx="15">
                  <c:v>0.03865949640299272</c:v>
                </c:pt>
                <c:pt idx="16">
                  <c:v>0.03641970187172396</c:v>
                </c:pt>
                <c:pt idx="17">
                  <c:v>0.031790198707842394</c:v>
                </c:pt>
                <c:pt idx="18">
                  <c:v>0.02459674250042278</c:v>
                </c:pt>
                <c:pt idx="19">
                  <c:v>0.020918489882917755</c:v>
                </c:pt>
                <c:pt idx="20">
                  <c:v>0.015752561032189732</c:v>
                </c:pt>
                <c:pt idx="21">
                  <c:v>0.013797595627761281</c:v>
                </c:pt>
                <c:pt idx="22">
                  <c:v>0.010753731027394473</c:v>
                </c:pt>
                <c:pt idx="23">
                  <c:v>0.005414733806581036</c:v>
                </c:pt>
                <c:pt idx="24">
                  <c:v>0.003344419726215672</c:v>
                </c:pt>
                <c:pt idx="25">
                  <c:v>-0.0013721868167860618</c:v>
                </c:pt>
                <c:pt idx="26">
                  <c:v>-0.0010710301767304752</c:v>
                </c:pt>
                <c:pt idx="27">
                  <c:v>-0.0033502427486518777</c:v>
                </c:pt>
                <c:pt idx="28">
                  <c:v>-0.013974914073908667</c:v>
                </c:pt>
                <c:pt idx="29">
                  <c:v>-0.017790891470743156</c:v>
                </c:pt>
                <c:pt idx="30">
                  <c:v>-0.013120827518645621</c:v>
                </c:pt>
                <c:pt idx="31">
                  <c:v>-0.005078041068972831</c:v>
                </c:pt>
                <c:pt idx="32">
                  <c:v>0.000647119337219627</c:v>
                </c:pt>
                <c:pt idx="33">
                  <c:v>0.0030204446185742363</c:v>
                </c:pt>
                <c:pt idx="34">
                  <c:v>0.00566038247701684</c:v>
                </c:pt>
                <c:pt idx="35">
                  <c:v>0.011149716956005515</c:v>
                </c:pt>
                <c:pt idx="36">
                  <c:v>0.013164077602170518</c:v>
                </c:pt>
                <c:pt idx="37">
                  <c:v>0.01818460264530999</c:v>
                </c:pt>
                <c:pt idx="38">
                  <c:v>0.019971497410565673</c:v>
                </c:pt>
                <c:pt idx="39">
                  <c:v>0.02238220537076416</c:v>
                </c:pt>
                <c:pt idx="40">
                  <c:v>0.03182487294201142</c:v>
                </c:pt>
              </c:numCache>
            </c:numRef>
          </c:val>
          <c:smooth val="0"/>
        </c:ser>
        <c:axId val="44076587"/>
        <c:axId val="61144964"/>
      </c:lineChart>
      <c:catAx>
        <c:axId val="44076587"/>
        <c:scaling>
          <c:orientation val="minMax"/>
        </c:scaling>
        <c:axPos val="b"/>
        <c:delete val="0"/>
        <c:numFmt formatCode="General" sourceLinked="1"/>
        <c:majorTickMark val="out"/>
        <c:minorTickMark val="none"/>
        <c:tickLblPos val="nextTo"/>
        <c:crossAx val="61144964"/>
        <c:crosses val="autoZero"/>
        <c:auto val="1"/>
        <c:lblOffset val="100"/>
        <c:noMultiLvlLbl val="0"/>
      </c:catAx>
      <c:valAx>
        <c:axId val="61144964"/>
        <c:scaling>
          <c:orientation val="minMax"/>
          <c:max val="0.07"/>
          <c:min val="-0.03"/>
        </c:scaling>
        <c:axPos val="l"/>
        <c:title>
          <c:tx>
            <c:rich>
              <a:bodyPr vert="horz" rot="-5400000" anchor="ctr"/>
              <a:lstStyle/>
              <a:p>
                <a:pPr algn="ctr">
                  <a:defRPr/>
                </a:pPr>
                <a:r>
                  <a:rPr lang="en-US" cap="none" sz="1000" b="1" i="0" u="none" baseline="0">
                    <a:latin typeface="Arial"/>
                    <a:ea typeface="Arial"/>
                    <a:cs typeface="Arial"/>
                  </a:rPr>
                  <a:t>11-year average annual growth rate</a:t>
                </a:r>
              </a:p>
            </c:rich>
          </c:tx>
          <c:layout/>
          <c:overlay val="0"/>
          <c:spPr>
            <a:noFill/>
            <a:ln>
              <a:noFill/>
            </a:ln>
          </c:spPr>
        </c:title>
        <c:delete val="0"/>
        <c:numFmt formatCode="0.00" sourceLinked="0"/>
        <c:majorTickMark val="out"/>
        <c:minorTickMark val="none"/>
        <c:tickLblPos val="nextTo"/>
        <c:crossAx val="44076587"/>
        <c:crossesAt val="1"/>
        <c:crossBetween val="midCat"/>
        <c:dispUnits/>
        <c:majorUnit val="0.01"/>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v>capital</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xVal>
            <c:numRef>
              <c:f>'projected convergence'!$AQ$17:$AQ$26</c:f>
              <c:numCache>
                <c:ptCount val="10"/>
                <c:pt idx="0">
                  <c:v>0</c:v>
                </c:pt>
                <c:pt idx="1">
                  <c:v>0</c:v>
                </c:pt>
                <c:pt idx="2">
                  <c:v>0</c:v>
                </c:pt>
                <c:pt idx="3">
                  <c:v>0</c:v>
                </c:pt>
                <c:pt idx="4">
                  <c:v>0</c:v>
                </c:pt>
                <c:pt idx="5">
                  <c:v>0</c:v>
                </c:pt>
                <c:pt idx="6">
                  <c:v>0</c:v>
                </c:pt>
                <c:pt idx="7">
                  <c:v>0</c:v>
                </c:pt>
                <c:pt idx="8">
                  <c:v>0</c:v>
                </c:pt>
                <c:pt idx="9">
                  <c:v>0</c:v>
                </c:pt>
              </c:numCache>
            </c:numRef>
          </c:xVal>
          <c:yVal>
            <c:numRef>
              <c:f>'projected convergence'!$AR$17:$AR$26</c:f>
              <c:numCache>
                <c:ptCount val="10"/>
                <c:pt idx="0">
                  <c:v>0</c:v>
                </c:pt>
                <c:pt idx="1">
                  <c:v>0</c:v>
                </c:pt>
                <c:pt idx="2">
                  <c:v>0</c:v>
                </c:pt>
                <c:pt idx="3">
                  <c:v>0</c:v>
                </c:pt>
                <c:pt idx="4">
                  <c:v>0</c:v>
                </c:pt>
                <c:pt idx="5">
                  <c:v>0</c:v>
                </c:pt>
                <c:pt idx="6">
                  <c:v>0</c:v>
                </c:pt>
                <c:pt idx="7">
                  <c:v>0</c:v>
                </c:pt>
                <c:pt idx="8">
                  <c:v>0</c:v>
                </c:pt>
                <c:pt idx="9">
                  <c:v>0</c:v>
                </c:pt>
              </c:numCache>
            </c:numRef>
          </c:yVal>
          <c:smooth val="0"/>
        </c:ser>
        <c:axId val="13433765"/>
        <c:axId val="53795022"/>
      </c:scatterChart>
      <c:valAx>
        <c:axId val="13433765"/>
        <c:scaling>
          <c:orientation val="minMax"/>
        </c:scaling>
        <c:axPos val="b"/>
        <c:delete val="0"/>
        <c:numFmt formatCode="General" sourceLinked="1"/>
        <c:majorTickMark val="out"/>
        <c:minorTickMark val="none"/>
        <c:tickLblPos val="nextTo"/>
        <c:crossAx val="53795022"/>
        <c:crosses val="autoZero"/>
        <c:crossBetween val="midCat"/>
        <c:dispUnits/>
      </c:valAx>
      <c:valAx>
        <c:axId val="53795022"/>
        <c:scaling>
          <c:orientation val="minMax"/>
        </c:scaling>
        <c:axPos val="l"/>
        <c:delete val="0"/>
        <c:numFmt formatCode="General" sourceLinked="1"/>
        <c:majorTickMark val="out"/>
        <c:minorTickMark val="none"/>
        <c:tickLblPos val="nextTo"/>
        <c:crossAx val="13433765"/>
        <c:crosses val="autoZero"/>
        <c:crossBetween val="midCat"/>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
          <c:w val="0.966"/>
          <c:h val="1"/>
        </c:manualLayout>
      </c:layout>
      <c:lineChart>
        <c:grouping val="standard"/>
        <c:varyColors val="0"/>
        <c:ser>
          <c:idx val="0"/>
          <c:order val="0"/>
          <c:tx>
            <c:v>Past real GDP p.c. Slovenia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convergence'!$C$5:$C$38</c:f>
              <c:numCache>
                <c:ptCount val="34"/>
                <c:pt idx="0">
                  <c:v>0.5114839022564043</c:v>
                </c:pt>
                <c:pt idx="1">
                  <c:v>0.525947409284297</c:v>
                </c:pt>
                <c:pt idx="2">
                  <c:v>0.5539185570861477</c:v>
                </c:pt>
                <c:pt idx="3">
                  <c:v>0.5766350631951401</c:v>
                </c:pt>
                <c:pt idx="4">
                  <c:v>0.5978752651855527</c:v>
                </c:pt>
                <c:pt idx="5">
                  <c:v>0.6264357118051106</c:v>
                </c:pt>
                <c:pt idx="6">
                  <c:v>0.6486085969013878</c:v>
                </c:pt>
                <c:pt idx="7">
                  <c:v>0.6849166735085372</c:v>
                </c:pt>
                <c:pt idx="8">
                  <c:v>0.7118015420308904</c:v>
                </c:pt>
                <c:pt idx="9">
                  <c:v>0.730602685552169</c:v>
                </c:pt>
                <c:pt idx="10">
                  <c:v>0.7549999295613451</c:v>
                </c:pt>
              </c:numCache>
            </c:numRef>
          </c:val>
          <c:smooth val="0"/>
        </c:ser>
        <c:ser>
          <c:idx val="1"/>
          <c:order val="1"/>
          <c:tx>
            <c:v>Projected real GDP p.c. Slovenia</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convergence'!$E$5:$E$26</c:f>
              <c:numCache>
                <c:ptCount val="22"/>
                <c:pt idx="10">
                  <c:v>0.7547169811320755</c:v>
                </c:pt>
                <c:pt idx="11">
                  <c:v>0.7818867924528302</c:v>
                </c:pt>
                <c:pt idx="12">
                  <c:v>0.8100347169811322</c:v>
                </c:pt>
                <c:pt idx="13">
                  <c:v>0.8391959667924529</c:v>
                </c:pt>
                <c:pt idx="14">
                  <c:v>0.8694070215969812</c:v>
                </c:pt>
                <c:pt idx="15">
                  <c:v>0.9007056743744726</c:v>
                </c:pt>
                <c:pt idx="16">
                  <c:v>0.9331310786519537</c:v>
                </c:pt>
                <c:pt idx="17">
                  <c:v>0.9667237974834242</c:v>
                </c:pt>
                <c:pt idx="18">
                  <c:v>1.0015258541928274</c:v>
                </c:pt>
                <c:pt idx="19">
                  <c:v>1.0375807849437693</c:v>
                </c:pt>
                <c:pt idx="20">
                  <c:v>1.074933693201745</c:v>
                </c:pt>
                <c:pt idx="21">
                  <c:v>1.113631306157008</c:v>
                </c:pt>
              </c:numCache>
            </c:numRef>
          </c:val>
          <c:smooth val="0"/>
        </c:ser>
        <c:ser>
          <c:idx val="2"/>
          <c:order val="2"/>
          <c:tx>
            <c:v>Past real GDP p.c.</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convergence'!$G$5:$G$38</c:f>
              <c:numCache>
                <c:ptCount val="34"/>
                <c:pt idx="7">
                  <c:v>0.9917738913641962</c:v>
                </c:pt>
                <c:pt idx="8">
                  <c:v>0.9935960555902226</c:v>
                </c:pt>
                <c:pt idx="9">
                  <c:v>0.9952092536590009</c:v>
                </c:pt>
                <c:pt idx="10">
                  <c:v>0.9966002342010551</c:v>
                </c:pt>
              </c:numCache>
            </c:numRef>
          </c:val>
          <c:smooth val="0"/>
        </c:ser>
        <c:ser>
          <c:idx val="3"/>
          <c:order val="3"/>
          <c:tx>
            <c:v>Projected real GDP p.c.</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convergence'!$I$5:$I$43</c:f>
              <c:numCache>
                <c:ptCount val="39"/>
                <c:pt idx="10">
                  <c:v>0.9996251405722855</c:v>
                </c:pt>
                <c:pt idx="11">
                  <c:v>1.022616518805448</c:v>
                </c:pt>
                <c:pt idx="12">
                  <c:v>1.0461366987379732</c:v>
                </c:pt>
                <c:pt idx="13">
                  <c:v>1.0701978428089465</c:v>
                </c:pt>
                <c:pt idx="14">
                  <c:v>1.094812393193552</c:v>
                </c:pt>
                <c:pt idx="15">
                  <c:v>1.1199930782370038</c:v>
                </c:pt>
                <c:pt idx="16">
                  <c:v>1.1457529190364548</c:v>
                </c:pt>
                <c:pt idx="17">
                  <c:v>1.172105236174293</c:v>
                </c:pt>
                <c:pt idx="18">
                  <c:v>1.1990636566063018</c:v>
                </c:pt>
                <c:pt idx="19">
                  <c:v>1.2266421207082465</c:v>
                </c:pt>
                <c:pt idx="20">
                  <c:v>1.2548548894845362</c:v>
                </c:pt>
                <c:pt idx="21">
                  <c:v>1.2837165519426803</c:v>
                </c:pt>
                <c:pt idx="22">
                  <c:v>1.313242032637362</c:v>
                </c:pt>
                <c:pt idx="23">
                  <c:v>1.3434465993880211</c:v>
                </c:pt>
                <c:pt idx="24">
                  <c:v>1.3743458711739456</c:v>
                </c:pt>
                <c:pt idx="25">
                  <c:v>1.4059558262109462</c:v>
                </c:pt>
                <c:pt idx="26">
                  <c:v>1.4382928102137977</c:v>
                </c:pt>
                <c:pt idx="27">
                  <c:v>1.471373544848715</c:v>
                </c:pt>
                <c:pt idx="28">
                  <c:v>1.5052151363802353</c:v>
                </c:pt>
                <c:pt idx="29">
                  <c:v>1.5398350845169806</c:v>
                </c:pt>
                <c:pt idx="30">
                  <c:v>1.575251291460871</c:v>
                </c:pt>
                <c:pt idx="31">
                  <c:v>1.611482071164471</c:v>
                </c:pt>
                <c:pt idx="32">
                  <c:v>1.6485461588012535</c:v>
                </c:pt>
                <c:pt idx="33">
                  <c:v>1.6864627204536822</c:v>
                </c:pt>
                <c:pt idx="34">
                  <c:v>1.7252513630241166</c:v>
                </c:pt>
                <c:pt idx="35">
                  <c:v>1.7649321443736712</c:v>
                </c:pt>
                <c:pt idx="36">
                  <c:v>1.8055255836942656</c:v>
                </c:pt>
                <c:pt idx="37">
                  <c:v>1.8470526721192337</c:v>
                </c:pt>
                <c:pt idx="38">
                  <c:v>1.889534883577976</c:v>
                </c:pt>
              </c:numCache>
            </c:numRef>
          </c:val>
          <c:smooth val="0"/>
        </c:ser>
        <c:ser>
          <c:idx val="4"/>
          <c:order val="4"/>
          <c:tx>
            <c:v>Projected real GDP p.c. Slovenia, for 3.6% growth per annum beyond 2013</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convergence'!$F$5:$F$43</c:f>
              <c:numCache>
                <c:ptCount val="39"/>
                <c:pt idx="21">
                  <c:v>1.113631306157008</c:v>
                </c:pt>
                <c:pt idx="22">
                  <c:v>1.1537220331786604</c:v>
                </c:pt>
                <c:pt idx="23">
                  <c:v>1.1952560263730923</c:v>
                </c:pt>
                <c:pt idx="24">
                  <c:v>1.2382852433225235</c:v>
                </c:pt>
                <c:pt idx="25">
                  <c:v>1.2828635120821346</c:v>
                </c:pt>
                <c:pt idx="26">
                  <c:v>1.3290465985170914</c:v>
                </c:pt>
                <c:pt idx="27">
                  <c:v>1.3768922760637068</c:v>
                </c:pt>
                <c:pt idx="28">
                  <c:v>1.4264603980020003</c:v>
                </c:pt>
                <c:pt idx="29">
                  <c:v>1.4778129723300724</c:v>
                </c:pt>
                <c:pt idx="30">
                  <c:v>1.5310142393339548</c:v>
                </c:pt>
                <c:pt idx="31">
                  <c:v>1.5861307519499772</c:v>
                </c:pt>
                <c:pt idx="32">
                  <c:v>1.6432314590201764</c:v>
                </c:pt>
                <c:pt idx="33">
                  <c:v>1.7023877915449028</c:v>
                </c:pt>
                <c:pt idx="34">
                  <c:v>1.7636737520405195</c:v>
                </c:pt>
                <c:pt idx="35">
                  <c:v>1.8271660071139784</c:v>
                </c:pt>
                <c:pt idx="36">
                  <c:v>1.8929439833700816</c:v>
                </c:pt>
                <c:pt idx="37">
                  <c:v>1.9610899667714048</c:v>
                </c:pt>
                <c:pt idx="38">
                  <c:v>2.0316892055751756</c:v>
                </c:pt>
              </c:numCache>
            </c:numRef>
          </c:val>
          <c:smooth val="0"/>
        </c:ser>
        <c:axId val="14393151"/>
        <c:axId val="62429496"/>
      </c:lineChart>
      <c:catAx>
        <c:axId val="14393151"/>
        <c:scaling>
          <c:orientation val="minMax"/>
        </c:scaling>
        <c:axPos val="b"/>
        <c:delete val="0"/>
        <c:numFmt formatCode="General" sourceLinked="1"/>
        <c:majorTickMark val="out"/>
        <c:minorTickMark val="none"/>
        <c:tickLblPos val="nextTo"/>
        <c:crossAx val="62429496"/>
        <c:crosses val="autoZero"/>
        <c:auto val="1"/>
        <c:lblOffset val="100"/>
        <c:tickLblSkip val="2"/>
        <c:noMultiLvlLbl val="0"/>
      </c:catAx>
      <c:valAx>
        <c:axId val="62429496"/>
        <c:scaling>
          <c:orientation val="minMax"/>
          <c:max val="2"/>
        </c:scaling>
        <c:axPos val="l"/>
        <c:title>
          <c:tx>
            <c:rich>
              <a:bodyPr vert="horz" rot="-5400000" anchor="ctr"/>
              <a:lstStyle/>
              <a:p>
                <a:pPr algn="ctr">
                  <a:defRPr/>
                </a:pPr>
                <a:r>
                  <a:rPr lang="en-US"/>
                  <a:t>EU-25 2002=1</a:t>
                </a:r>
              </a:p>
            </c:rich>
          </c:tx>
          <c:layout/>
          <c:overlay val="0"/>
          <c:spPr>
            <a:noFill/>
            <a:ln>
              <a:noFill/>
            </a:ln>
          </c:spPr>
        </c:title>
        <c:delete val="0"/>
        <c:numFmt formatCode="0.00" sourceLinked="0"/>
        <c:majorTickMark val="out"/>
        <c:minorTickMark val="none"/>
        <c:tickLblPos val="nextTo"/>
        <c:crossAx val="14393151"/>
        <c:crossesAt val="1"/>
        <c:crossBetween val="midCat"/>
        <c:dispUnits/>
      </c:valAx>
      <c:spPr>
        <a:noFill/>
        <a:ln>
          <a:noFill/>
        </a:ln>
      </c:spPr>
    </c:plotArea>
    <c:legend>
      <c:legendPos val="r"/>
      <c:layout>
        <c:manualLayout>
          <c:xMode val="edge"/>
          <c:yMode val="edge"/>
          <c:x val="0.30975"/>
          <c:y val="0.60325"/>
          <c:w val="0.587"/>
          <c:h val="0.259"/>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Employment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Employment!$A$5:$A$27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Employment!$E$5:$E$27</c:f>
              <c:numCache>
                <c:ptCount val="23"/>
                <c:pt idx="0">
                  <c:v>973.3576276915958</c:v>
                </c:pt>
                <c:pt idx="1">
                  <c:v>976.6039566333131</c:v>
                </c:pt>
                <c:pt idx="2">
                  <c:v>981.1488171517175</c:v>
                </c:pt>
                <c:pt idx="3">
                  <c:v>986.8839982820849</c:v>
                </c:pt>
                <c:pt idx="4">
                  <c:v>1003.7649087790153</c:v>
                </c:pt>
                <c:pt idx="5">
                  <c:v>1023.3510933940436</c:v>
                </c:pt>
                <c:pt idx="6">
                  <c:v>1041.530535467661</c:v>
                </c:pt>
                <c:pt idx="7">
                  <c:v>1049.3217249277825</c:v>
                </c:pt>
                <c:pt idx="8">
                  <c:v>1044.776864409378</c:v>
                </c:pt>
                <c:pt idx="9">
                  <c:v>1034.1721898664346</c:v>
                </c:pt>
                <c:pt idx="10">
                  <c:v>999.8693140489542</c:v>
                </c:pt>
                <c:pt idx="11">
                  <c:v>945.2227768633783</c:v>
                </c:pt>
                <c:pt idx="12">
                  <c:v>903.0205006210523</c:v>
                </c:pt>
                <c:pt idx="13">
                  <c:v>886.7661316098734</c:v>
                </c:pt>
                <c:pt idx="14">
                  <c:v>883.2190670834339</c:v>
                </c:pt>
                <c:pt idx="15">
                  <c:v>892.4170113007938</c:v>
                </c:pt>
                <c:pt idx="16">
                  <c:v>883.7601226256315</c:v>
                </c:pt>
                <c:pt idx="17">
                  <c:v>879.2152560711713</c:v>
                </c:pt>
                <c:pt idx="18">
                  <c:v>879.3234671796108</c:v>
                </c:pt>
                <c:pt idx="19">
                  <c:v>890.1445780235636</c:v>
                </c:pt>
                <c:pt idx="20">
                  <c:v>900.1</c:v>
                </c:pt>
                <c:pt idx="21">
                  <c:v>904.3</c:v>
                </c:pt>
                <c:pt idx="22">
                  <c:v>899.5</c:v>
                </c:pt>
              </c:numCache>
            </c:numRef>
          </c:val>
          <c:smooth val="0"/>
        </c:ser>
        <c:marker val="1"/>
        <c:axId val="17352879"/>
        <c:axId val="21958184"/>
      </c:lineChart>
      <c:lineChart>
        <c:grouping val="standard"/>
        <c:varyColors val="0"/>
        <c:ser>
          <c:idx val="1"/>
          <c:order val="1"/>
          <c:tx>
            <c:v>Growth rate of employment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Employment!$D$5:$D$27</c:f>
              <c:numCache>
                <c:ptCount val="23"/>
                <c:pt idx="1">
                  <c:v>0.0033351862145636346</c:v>
                </c:pt>
                <c:pt idx="2">
                  <c:v>0.004653739612188445</c:v>
                </c:pt>
                <c:pt idx="3">
                  <c:v>0.005845373331862902</c:v>
                </c:pt>
                <c:pt idx="4">
                  <c:v>0.017105263157894797</c:v>
                </c:pt>
                <c:pt idx="5">
                  <c:v>0.01951272100043127</c:v>
                </c:pt>
                <c:pt idx="6">
                  <c:v>0.01776461880088817</c:v>
                </c:pt>
                <c:pt idx="7">
                  <c:v>0.007480519480519377</c:v>
                </c:pt>
                <c:pt idx="8">
                  <c:v>-0.004331236464886103</c:v>
                </c:pt>
                <c:pt idx="9">
                  <c:v>-0.01015018125323664</c:v>
                </c:pt>
                <c:pt idx="10">
                  <c:v>-0.03316940462488233</c:v>
                </c:pt>
                <c:pt idx="11">
                  <c:v>-0.0546536796536796</c:v>
                </c:pt>
                <c:pt idx="12">
                  <c:v>-0.04464796794504863</c:v>
                </c:pt>
                <c:pt idx="13">
                  <c:v>-0.018000000000000002</c:v>
                </c:pt>
                <c:pt idx="14">
                  <c:v>-0.004</c:v>
                </c:pt>
                <c:pt idx="15">
                  <c:v>0.010414114187698971</c:v>
                </c:pt>
                <c:pt idx="16">
                  <c:v>-0.009700497150478923</c:v>
                </c:pt>
                <c:pt idx="17">
                  <c:v>-0.005142647238888287</c:v>
                </c:pt>
                <c:pt idx="18">
                  <c:v>0.0001230769230768658</c:v>
                </c:pt>
                <c:pt idx="19">
                  <c:v>0.012306177701205883</c:v>
                </c:pt>
                <c:pt idx="20">
                  <c:v>0.011184050571359024</c:v>
                </c:pt>
                <c:pt idx="21">
                  <c:v>0.00466614820575484</c:v>
                </c:pt>
                <c:pt idx="22">
                  <c:v>-0.005307973017803776</c:v>
                </c:pt>
              </c:numCache>
            </c:numRef>
          </c:val>
          <c:smooth val="0"/>
        </c:ser>
        <c:marker val="1"/>
        <c:axId val="63405929"/>
        <c:axId val="33782450"/>
      </c:lineChart>
      <c:catAx>
        <c:axId val="17352879"/>
        <c:scaling>
          <c:orientation val="minMax"/>
        </c:scaling>
        <c:axPos val="b"/>
        <c:delete val="0"/>
        <c:numFmt formatCode="General" sourceLinked="1"/>
        <c:majorTickMark val="out"/>
        <c:minorTickMark val="none"/>
        <c:tickLblPos val="nextTo"/>
        <c:crossAx val="21958184"/>
        <c:crosses val="autoZero"/>
        <c:auto val="1"/>
        <c:lblOffset val="100"/>
        <c:tickLblSkip val="2"/>
        <c:noMultiLvlLbl val="0"/>
      </c:catAx>
      <c:valAx>
        <c:axId val="21958184"/>
        <c:scaling>
          <c:orientation val="minMax"/>
          <c:max val="1100"/>
          <c:min val="800"/>
        </c:scaling>
        <c:axPos val="l"/>
        <c:title>
          <c:tx>
            <c:rich>
              <a:bodyPr vert="horz" rot="-5400000" anchor="ctr"/>
              <a:lstStyle/>
              <a:p>
                <a:pPr algn="ctr">
                  <a:defRPr/>
                </a:pPr>
                <a:r>
                  <a:rPr lang="en-US" cap="none" sz="1000" b="1" i="0" u="none" baseline="0">
                    <a:latin typeface="Arial"/>
                    <a:ea typeface="Arial"/>
                    <a:cs typeface="Arial"/>
                  </a:rPr>
                  <a:t>x1000</a:t>
                </a:r>
              </a:p>
            </c:rich>
          </c:tx>
          <c:layout/>
          <c:overlay val="0"/>
          <c:spPr>
            <a:noFill/>
            <a:ln>
              <a:noFill/>
            </a:ln>
          </c:spPr>
        </c:title>
        <c:delete val="0"/>
        <c:numFmt formatCode="0" sourceLinked="0"/>
        <c:majorTickMark val="out"/>
        <c:minorTickMark val="none"/>
        <c:tickLblPos val="nextTo"/>
        <c:crossAx val="17352879"/>
        <c:crossesAt val="1"/>
        <c:crossBetween val="midCat"/>
        <c:dispUnits/>
        <c:majorUnit val="25"/>
      </c:valAx>
      <c:catAx>
        <c:axId val="63405929"/>
        <c:scaling>
          <c:orientation val="minMax"/>
        </c:scaling>
        <c:axPos val="b"/>
        <c:delete val="1"/>
        <c:majorTickMark val="in"/>
        <c:minorTickMark val="none"/>
        <c:tickLblPos val="nextTo"/>
        <c:crossAx val="33782450"/>
        <c:crosses val="autoZero"/>
        <c:auto val="1"/>
        <c:lblOffset val="100"/>
        <c:noMultiLvlLbl val="0"/>
      </c:catAx>
      <c:valAx>
        <c:axId val="33782450"/>
        <c:scaling>
          <c:orientation val="minMax"/>
          <c:max val="0.1"/>
          <c:min val="-0.1"/>
        </c:scaling>
        <c:axPos val="l"/>
        <c:title>
          <c:tx>
            <c:rich>
              <a:bodyPr vert="horz" rot="-5400000" anchor="ctr"/>
              <a:lstStyle/>
              <a:p>
                <a:pPr algn="ctr">
                  <a:defRPr/>
                </a:pPr>
                <a:r>
                  <a:rPr lang="en-US" cap="none" sz="1000" b="1" i="0" u="none" baseline="0">
                    <a:latin typeface="Arial"/>
                    <a:ea typeface="Arial"/>
                    <a:cs typeface="Arial"/>
                  </a:rPr>
                  <a:t>Annual growth rate</a:t>
                </a:r>
              </a:p>
            </c:rich>
          </c:tx>
          <c:layout/>
          <c:overlay val="0"/>
          <c:spPr>
            <a:noFill/>
            <a:ln>
              <a:noFill/>
            </a:ln>
          </c:spPr>
        </c:title>
        <c:delete val="0"/>
        <c:numFmt formatCode="0.00" sourceLinked="0"/>
        <c:majorTickMark val="in"/>
        <c:minorTickMark val="none"/>
        <c:tickLblPos val="nextTo"/>
        <c:crossAx val="63405929"/>
        <c:crosses val="max"/>
        <c:crossBetween val="midCat"/>
        <c:dispUnits/>
        <c:majorUnit val="0.02"/>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165"/>
          <c:w val="0.95825"/>
          <c:h val="0.7785"/>
        </c:manualLayout>
      </c:layout>
      <c:lineChart>
        <c:grouping val="standard"/>
        <c:varyColors val="0"/>
        <c:ser>
          <c:idx val="0"/>
          <c:order val="0"/>
          <c:tx>
            <c:v>Past real GDP p.c. Slovenia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convergence'!$C$5:$C$38</c:f>
              <c:numCache>
                <c:ptCount val="34"/>
                <c:pt idx="0">
                  <c:v>0.5114839022564043</c:v>
                </c:pt>
                <c:pt idx="1">
                  <c:v>0.525947409284297</c:v>
                </c:pt>
                <c:pt idx="2">
                  <c:v>0.5539185570861477</c:v>
                </c:pt>
                <c:pt idx="3">
                  <c:v>0.5766350631951401</c:v>
                </c:pt>
                <c:pt idx="4">
                  <c:v>0.5978752651855527</c:v>
                </c:pt>
                <c:pt idx="5">
                  <c:v>0.6264357118051106</c:v>
                </c:pt>
                <c:pt idx="6">
                  <c:v>0.6486085969013878</c:v>
                </c:pt>
                <c:pt idx="7">
                  <c:v>0.6849166735085372</c:v>
                </c:pt>
                <c:pt idx="8">
                  <c:v>0.7118015420308904</c:v>
                </c:pt>
                <c:pt idx="9">
                  <c:v>0.730602685552169</c:v>
                </c:pt>
                <c:pt idx="10">
                  <c:v>0.7549999295613451</c:v>
                </c:pt>
              </c:numCache>
            </c:numRef>
          </c:val>
          <c:smooth val="0"/>
        </c:ser>
        <c:ser>
          <c:idx val="1"/>
          <c:order val="1"/>
          <c:tx>
            <c:v>Projected real GDP p.c. Slovenia</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convergence'!$E$5:$E$26</c:f>
              <c:numCache>
                <c:ptCount val="22"/>
                <c:pt idx="10">
                  <c:v>0.7547169811320755</c:v>
                </c:pt>
                <c:pt idx="11">
                  <c:v>0.7818867924528302</c:v>
                </c:pt>
                <c:pt idx="12">
                  <c:v>0.8100347169811322</c:v>
                </c:pt>
                <c:pt idx="13">
                  <c:v>0.8391959667924529</c:v>
                </c:pt>
                <c:pt idx="14">
                  <c:v>0.8694070215969812</c:v>
                </c:pt>
                <c:pt idx="15">
                  <c:v>0.9007056743744726</c:v>
                </c:pt>
                <c:pt idx="16">
                  <c:v>0.9331310786519537</c:v>
                </c:pt>
                <c:pt idx="17">
                  <c:v>0.9667237974834242</c:v>
                </c:pt>
                <c:pt idx="18">
                  <c:v>1.0015258541928274</c:v>
                </c:pt>
                <c:pt idx="19">
                  <c:v>1.0375807849437693</c:v>
                </c:pt>
                <c:pt idx="20">
                  <c:v>1.074933693201745</c:v>
                </c:pt>
                <c:pt idx="21">
                  <c:v>1.113631306157008</c:v>
                </c:pt>
              </c:numCache>
            </c:numRef>
          </c:val>
          <c:smooth val="0"/>
        </c:ser>
        <c:ser>
          <c:idx val="2"/>
          <c:order val="2"/>
          <c:tx>
            <c:v>Past real GDP p.c.</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convergence'!$G$5:$G$38</c:f>
              <c:numCache>
                <c:ptCount val="34"/>
                <c:pt idx="7">
                  <c:v>0.9917738913641962</c:v>
                </c:pt>
                <c:pt idx="8">
                  <c:v>0.9935960555902226</c:v>
                </c:pt>
                <c:pt idx="9">
                  <c:v>0.9952092536590009</c:v>
                </c:pt>
                <c:pt idx="10">
                  <c:v>0.9966002342010551</c:v>
                </c:pt>
              </c:numCache>
            </c:numRef>
          </c:val>
          <c:smooth val="0"/>
        </c:ser>
        <c:ser>
          <c:idx val="3"/>
          <c:order val="3"/>
          <c:tx>
            <c:v>Projected real GDP p.c.</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convergence'!$I$5:$I$43</c:f>
              <c:numCache>
                <c:ptCount val="39"/>
                <c:pt idx="10">
                  <c:v>0.9996251405722855</c:v>
                </c:pt>
                <c:pt idx="11">
                  <c:v>1.022616518805448</c:v>
                </c:pt>
                <c:pt idx="12">
                  <c:v>1.0461366987379732</c:v>
                </c:pt>
                <c:pt idx="13">
                  <c:v>1.0701978428089465</c:v>
                </c:pt>
                <c:pt idx="14">
                  <c:v>1.094812393193552</c:v>
                </c:pt>
                <c:pt idx="15">
                  <c:v>1.1199930782370038</c:v>
                </c:pt>
                <c:pt idx="16">
                  <c:v>1.1457529190364548</c:v>
                </c:pt>
                <c:pt idx="17">
                  <c:v>1.172105236174293</c:v>
                </c:pt>
                <c:pt idx="18">
                  <c:v>1.1990636566063018</c:v>
                </c:pt>
                <c:pt idx="19">
                  <c:v>1.2266421207082465</c:v>
                </c:pt>
                <c:pt idx="20">
                  <c:v>1.2548548894845362</c:v>
                </c:pt>
                <c:pt idx="21">
                  <c:v>1.2837165519426803</c:v>
                </c:pt>
                <c:pt idx="22">
                  <c:v>1.313242032637362</c:v>
                </c:pt>
                <c:pt idx="23">
                  <c:v>1.3434465993880211</c:v>
                </c:pt>
                <c:pt idx="24">
                  <c:v>1.3743458711739456</c:v>
                </c:pt>
                <c:pt idx="25">
                  <c:v>1.4059558262109462</c:v>
                </c:pt>
                <c:pt idx="26">
                  <c:v>1.4382928102137977</c:v>
                </c:pt>
                <c:pt idx="27">
                  <c:v>1.471373544848715</c:v>
                </c:pt>
                <c:pt idx="28">
                  <c:v>1.5052151363802353</c:v>
                </c:pt>
                <c:pt idx="29">
                  <c:v>1.5398350845169806</c:v>
                </c:pt>
                <c:pt idx="30">
                  <c:v>1.575251291460871</c:v>
                </c:pt>
                <c:pt idx="31">
                  <c:v>1.611482071164471</c:v>
                </c:pt>
                <c:pt idx="32">
                  <c:v>1.6485461588012535</c:v>
                </c:pt>
                <c:pt idx="33">
                  <c:v>1.6864627204536822</c:v>
                </c:pt>
                <c:pt idx="34">
                  <c:v>1.7252513630241166</c:v>
                </c:pt>
                <c:pt idx="35">
                  <c:v>1.7649321443736712</c:v>
                </c:pt>
                <c:pt idx="36">
                  <c:v>1.8055255836942656</c:v>
                </c:pt>
                <c:pt idx="37">
                  <c:v>1.8470526721192337</c:v>
                </c:pt>
                <c:pt idx="38">
                  <c:v>1.889534883577976</c:v>
                </c:pt>
              </c:numCache>
            </c:numRef>
          </c:val>
          <c:smooth val="0"/>
        </c:ser>
        <c:ser>
          <c:idx val="4"/>
          <c:order val="4"/>
          <c:tx>
            <c:v>Projected real GDP p.c. Slovenia, for 3.6% growth per annum beyond 2013</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convergence'!$F$5:$F$43</c:f>
              <c:numCache>
                <c:ptCount val="39"/>
                <c:pt idx="21">
                  <c:v>1.113631306157008</c:v>
                </c:pt>
                <c:pt idx="22">
                  <c:v>1.1537220331786604</c:v>
                </c:pt>
                <c:pt idx="23">
                  <c:v>1.1952560263730923</c:v>
                </c:pt>
                <c:pt idx="24">
                  <c:v>1.2382852433225235</c:v>
                </c:pt>
                <c:pt idx="25">
                  <c:v>1.2828635120821346</c:v>
                </c:pt>
                <c:pt idx="26">
                  <c:v>1.3290465985170914</c:v>
                </c:pt>
                <c:pt idx="27">
                  <c:v>1.3768922760637068</c:v>
                </c:pt>
                <c:pt idx="28">
                  <c:v>1.4264603980020003</c:v>
                </c:pt>
                <c:pt idx="29">
                  <c:v>1.4778129723300724</c:v>
                </c:pt>
                <c:pt idx="30">
                  <c:v>1.5310142393339548</c:v>
                </c:pt>
                <c:pt idx="31">
                  <c:v>1.5861307519499772</c:v>
                </c:pt>
                <c:pt idx="32">
                  <c:v>1.6432314590201764</c:v>
                </c:pt>
                <c:pt idx="33">
                  <c:v>1.7023877915449028</c:v>
                </c:pt>
                <c:pt idx="34">
                  <c:v>1.7636737520405195</c:v>
                </c:pt>
                <c:pt idx="35">
                  <c:v>1.8271660071139784</c:v>
                </c:pt>
                <c:pt idx="36">
                  <c:v>1.8929439833700816</c:v>
                </c:pt>
                <c:pt idx="37">
                  <c:v>1.9610899667714048</c:v>
                </c:pt>
                <c:pt idx="38">
                  <c:v>2.0316892055751756</c:v>
                </c:pt>
              </c:numCache>
            </c:numRef>
          </c:val>
          <c:smooth val="0"/>
        </c:ser>
        <c:axId val="24994553"/>
        <c:axId val="23624386"/>
      </c:lineChart>
      <c:catAx>
        <c:axId val="24994553"/>
        <c:scaling>
          <c:orientation val="minMax"/>
        </c:scaling>
        <c:axPos val="b"/>
        <c:delete val="0"/>
        <c:numFmt formatCode="General" sourceLinked="1"/>
        <c:majorTickMark val="out"/>
        <c:minorTickMark val="none"/>
        <c:tickLblPos val="nextTo"/>
        <c:crossAx val="23624386"/>
        <c:crosses val="autoZero"/>
        <c:auto val="1"/>
        <c:lblOffset val="100"/>
        <c:tickLblSkip val="2"/>
        <c:noMultiLvlLbl val="0"/>
      </c:catAx>
      <c:valAx>
        <c:axId val="23624386"/>
        <c:scaling>
          <c:orientation val="minMax"/>
          <c:max val="2"/>
        </c:scaling>
        <c:axPos val="l"/>
        <c:title>
          <c:tx>
            <c:rich>
              <a:bodyPr vert="horz" rot="-5400000" anchor="ctr"/>
              <a:lstStyle/>
              <a:p>
                <a:pPr algn="ctr">
                  <a:defRPr/>
                </a:pPr>
                <a:r>
                  <a:rPr lang="en-US" cap="none" sz="1000" b="1" i="0" u="none" baseline="0">
                    <a:latin typeface="Arial"/>
                    <a:ea typeface="Arial"/>
                    <a:cs typeface="Arial"/>
                  </a:rPr>
                  <a:t>EU-25 2002=1</a:t>
                </a:r>
              </a:p>
            </c:rich>
          </c:tx>
          <c:layout/>
          <c:overlay val="0"/>
          <c:spPr>
            <a:noFill/>
            <a:ln>
              <a:noFill/>
            </a:ln>
          </c:spPr>
        </c:title>
        <c:delete val="0"/>
        <c:numFmt formatCode="0.00" sourceLinked="0"/>
        <c:majorTickMark val="out"/>
        <c:minorTickMark val="none"/>
        <c:tickLblPos val="nextTo"/>
        <c:crossAx val="24994553"/>
        <c:crossesAt val="1"/>
        <c:crossBetween val="midCat"/>
        <c:dispUnits/>
      </c:valAx>
      <c:spPr>
        <a:noFill/>
        <a:ln>
          <a:noFill/>
        </a:ln>
      </c:spPr>
    </c:plotArea>
    <c:legend>
      <c:legendPos val="b"/>
      <c:layout>
        <c:manualLayout>
          <c:xMode val="edge"/>
          <c:yMode val="edge"/>
          <c:x val="0.06375"/>
          <c:y val="0.81325"/>
          <c:w val="0.9125"/>
          <c:h val="0.1737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v>capital</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xVal>
            <c:numRef>
              <c:f>'no further capital deepening'!$AQ$17:$AQ$26</c:f>
              <c:numCache>
                <c:ptCount val="10"/>
                <c:pt idx="0">
                  <c:v>0</c:v>
                </c:pt>
                <c:pt idx="1">
                  <c:v>0</c:v>
                </c:pt>
                <c:pt idx="2">
                  <c:v>0</c:v>
                </c:pt>
                <c:pt idx="3">
                  <c:v>0</c:v>
                </c:pt>
                <c:pt idx="4">
                  <c:v>0</c:v>
                </c:pt>
                <c:pt idx="5">
                  <c:v>0</c:v>
                </c:pt>
                <c:pt idx="6">
                  <c:v>0</c:v>
                </c:pt>
                <c:pt idx="7">
                  <c:v>0</c:v>
                </c:pt>
                <c:pt idx="8">
                  <c:v>0</c:v>
                </c:pt>
                <c:pt idx="9">
                  <c:v>0</c:v>
                </c:pt>
              </c:numCache>
            </c:numRef>
          </c:xVal>
          <c:yVal>
            <c:numRef>
              <c:f>'no further capital deepening'!$AR$17:$AR$26</c:f>
              <c:numCache>
                <c:ptCount val="10"/>
                <c:pt idx="0">
                  <c:v>0</c:v>
                </c:pt>
                <c:pt idx="1">
                  <c:v>0</c:v>
                </c:pt>
                <c:pt idx="2">
                  <c:v>0</c:v>
                </c:pt>
                <c:pt idx="3">
                  <c:v>0</c:v>
                </c:pt>
                <c:pt idx="4">
                  <c:v>0</c:v>
                </c:pt>
                <c:pt idx="5">
                  <c:v>0</c:v>
                </c:pt>
                <c:pt idx="6">
                  <c:v>0</c:v>
                </c:pt>
                <c:pt idx="7">
                  <c:v>0</c:v>
                </c:pt>
                <c:pt idx="8">
                  <c:v>0</c:v>
                </c:pt>
                <c:pt idx="9">
                  <c:v>0</c:v>
                </c:pt>
              </c:numCache>
            </c:numRef>
          </c:yVal>
          <c:smooth val="0"/>
        </c:ser>
        <c:axId val="11292883"/>
        <c:axId val="34527084"/>
      </c:scatterChart>
      <c:valAx>
        <c:axId val="11292883"/>
        <c:scaling>
          <c:orientation val="minMax"/>
        </c:scaling>
        <c:axPos val="b"/>
        <c:delete val="0"/>
        <c:numFmt formatCode="General" sourceLinked="1"/>
        <c:majorTickMark val="out"/>
        <c:minorTickMark val="none"/>
        <c:tickLblPos val="nextTo"/>
        <c:crossAx val="34527084"/>
        <c:crosses val="autoZero"/>
        <c:crossBetween val="midCat"/>
        <c:dispUnits/>
      </c:valAx>
      <c:valAx>
        <c:axId val="34527084"/>
        <c:scaling>
          <c:orientation val="minMax"/>
        </c:scaling>
        <c:axPos val="l"/>
        <c:delete val="0"/>
        <c:numFmt formatCode="General" sourceLinked="1"/>
        <c:majorTickMark val="out"/>
        <c:minorTickMark val="none"/>
        <c:tickLblPos val="nextTo"/>
        <c:crossAx val="11292883"/>
        <c:crosses val="autoZero"/>
        <c:crossBetween val="midCat"/>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
          <c:w val="0.97975"/>
          <c:h val="1"/>
        </c:manualLayout>
      </c:layout>
      <c:lineChart>
        <c:grouping val="standard"/>
        <c:varyColors val="0"/>
        <c:ser>
          <c:idx val="1"/>
          <c:order val="0"/>
          <c:tx>
            <c:v>Unemployed in the labour force survey</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Unemployment!$A$5:$A$27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Unemployment!$G$5:$G$27</c:f>
              <c:numCache>
                <c:ptCount val="23"/>
                <c:pt idx="12">
                  <c:v>80</c:v>
                </c:pt>
                <c:pt idx="13">
                  <c:v>85</c:v>
                </c:pt>
                <c:pt idx="14">
                  <c:v>85</c:v>
                </c:pt>
                <c:pt idx="15">
                  <c:v>70</c:v>
                </c:pt>
                <c:pt idx="16">
                  <c:v>69</c:v>
                </c:pt>
                <c:pt idx="17">
                  <c:v>72</c:v>
                </c:pt>
                <c:pt idx="18">
                  <c:v>77</c:v>
                </c:pt>
                <c:pt idx="19">
                  <c:v>73</c:v>
                </c:pt>
                <c:pt idx="20">
                  <c:v>68</c:v>
                </c:pt>
                <c:pt idx="21">
                  <c:v>63</c:v>
                </c:pt>
                <c:pt idx="22">
                  <c:v>62</c:v>
                </c:pt>
              </c:numCache>
            </c:numRef>
          </c:val>
          <c:smooth val="0"/>
        </c:ser>
        <c:ser>
          <c:idx val="0"/>
          <c:order val="1"/>
          <c:tx>
            <c:v>Registered unemployed</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Unemployment!$A$5:$A$27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Unemployment!$F$5:$F$27</c:f>
              <c:numCache>
                <c:ptCount val="23"/>
                <c:pt idx="0">
                  <c:v>12.227</c:v>
                </c:pt>
                <c:pt idx="1">
                  <c:v>13.35</c:v>
                </c:pt>
                <c:pt idx="2">
                  <c:v>16.043</c:v>
                </c:pt>
                <c:pt idx="3">
                  <c:v>16.858</c:v>
                </c:pt>
                <c:pt idx="4">
                  <c:v>15.394</c:v>
                </c:pt>
                <c:pt idx="5">
                  <c:v>15.297</c:v>
                </c:pt>
                <c:pt idx="6">
                  <c:v>13.964</c:v>
                </c:pt>
                <c:pt idx="7">
                  <c:v>17.826</c:v>
                </c:pt>
                <c:pt idx="8">
                  <c:v>25.371</c:v>
                </c:pt>
                <c:pt idx="9">
                  <c:v>33.796</c:v>
                </c:pt>
                <c:pt idx="10">
                  <c:v>55.441</c:v>
                </c:pt>
                <c:pt idx="11">
                  <c:v>91.161</c:v>
                </c:pt>
                <c:pt idx="12">
                  <c:v>118.224</c:v>
                </c:pt>
                <c:pt idx="13">
                  <c:v>137.142</c:v>
                </c:pt>
                <c:pt idx="14">
                  <c:v>123.517</c:v>
                </c:pt>
                <c:pt idx="15">
                  <c:v>126.759</c:v>
                </c:pt>
                <c:pt idx="16">
                  <c:v>124.47</c:v>
                </c:pt>
                <c:pt idx="17">
                  <c:v>128.572</c:v>
                </c:pt>
                <c:pt idx="18">
                  <c:v>126.625</c:v>
                </c:pt>
                <c:pt idx="19">
                  <c:v>114.348</c:v>
                </c:pt>
                <c:pt idx="20">
                  <c:v>104.583</c:v>
                </c:pt>
                <c:pt idx="21">
                  <c:v>104.316</c:v>
                </c:pt>
                <c:pt idx="22">
                  <c:v>99.607</c:v>
                </c:pt>
              </c:numCache>
            </c:numRef>
          </c:val>
          <c:smooth val="0"/>
        </c:ser>
        <c:axId val="35606595"/>
        <c:axId val="52023900"/>
      </c:lineChart>
      <c:catAx>
        <c:axId val="35606595"/>
        <c:scaling>
          <c:orientation val="minMax"/>
        </c:scaling>
        <c:axPos val="b"/>
        <c:delete val="0"/>
        <c:numFmt formatCode="General" sourceLinked="1"/>
        <c:majorTickMark val="out"/>
        <c:minorTickMark val="none"/>
        <c:tickLblPos val="nextTo"/>
        <c:crossAx val="52023900"/>
        <c:crosses val="autoZero"/>
        <c:auto val="1"/>
        <c:lblOffset val="100"/>
        <c:tickLblSkip val="2"/>
        <c:noMultiLvlLbl val="0"/>
      </c:catAx>
      <c:valAx>
        <c:axId val="52023900"/>
        <c:scaling>
          <c:orientation val="minMax"/>
          <c:max val="160"/>
          <c:min val="0"/>
        </c:scaling>
        <c:axPos val="l"/>
        <c:title>
          <c:tx>
            <c:rich>
              <a:bodyPr vert="horz" rot="-5400000" anchor="ctr"/>
              <a:lstStyle/>
              <a:p>
                <a:pPr algn="ctr">
                  <a:defRPr/>
                </a:pPr>
                <a:r>
                  <a:rPr lang="en-US" cap="none" sz="700" b="0" i="0" u="none" baseline="0">
                    <a:latin typeface="Arial"/>
                    <a:ea typeface="Arial"/>
                    <a:cs typeface="Arial"/>
                  </a:rPr>
                  <a:t>In thousands</a:t>
                </a:r>
              </a:p>
            </c:rich>
          </c:tx>
          <c:layout/>
          <c:overlay val="0"/>
          <c:spPr>
            <a:noFill/>
            <a:ln>
              <a:noFill/>
            </a:ln>
          </c:spPr>
        </c:title>
        <c:delete val="0"/>
        <c:numFmt formatCode="General" sourceLinked="1"/>
        <c:majorTickMark val="out"/>
        <c:minorTickMark val="none"/>
        <c:tickLblPos val="nextTo"/>
        <c:crossAx val="35606595"/>
        <c:crossesAt val="1"/>
        <c:crossBetween val="midCat"/>
        <c:dispUnits/>
        <c:majorUnit val="10"/>
      </c:valAx>
      <c:spPr>
        <a:noFill/>
        <a:ln>
          <a:noFill/>
        </a:ln>
      </c:spPr>
    </c:plotArea>
    <c:legend>
      <c:legendPos val="r"/>
      <c:layout>
        <c:manualLayout>
          <c:xMode val="edge"/>
          <c:yMode val="edge"/>
          <c:x val="0.162"/>
          <c:y val="0.0125"/>
          <c:w val="0.38725"/>
          <c:h val="0.1327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Unemployed in the labour force survey</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Unemployment!$A$5:$A$27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Unemployment!$G$5:$G$27</c:f>
              <c:numCache>
                <c:ptCount val="23"/>
                <c:pt idx="12">
                  <c:v>80</c:v>
                </c:pt>
                <c:pt idx="13">
                  <c:v>85</c:v>
                </c:pt>
                <c:pt idx="14">
                  <c:v>85</c:v>
                </c:pt>
                <c:pt idx="15">
                  <c:v>70</c:v>
                </c:pt>
                <c:pt idx="16">
                  <c:v>69</c:v>
                </c:pt>
                <c:pt idx="17">
                  <c:v>72</c:v>
                </c:pt>
                <c:pt idx="18">
                  <c:v>77</c:v>
                </c:pt>
                <c:pt idx="19">
                  <c:v>73</c:v>
                </c:pt>
                <c:pt idx="20">
                  <c:v>68</c:v>
                </c:pt>
                <c:pt idx="21">
                  <c:v>63</c:v>
                </c:pt>
                <c:pt idx="22">
                  <c:v>62</c:v>
                </c:pt>
              </c:numCache>
            </c:numRef>
          </c:val>
          <c:smooth val="0"/>
        </c:ser>
        <c:ser>
          <c:idx val="0"/>
          <c:order val="1"/>
          <c:tx>
            <c:v>Registered unemployed</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Unemployment!$A$5:$A$27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Unemployment!$F$5:$F$27</c:f>
              <c:numCache>
                <c:ptCount val="23"/>
                <c:pt idx="0">
                  <c:v>12.227</c:v>
                </c:pt>
                <c:pt idx="1">
                  <c:v>13.35</c:v>
                </c:pt>
                <c:pt idx="2">
                  <c:v>16.043</c:v>
                </c:pt>
                <c:pt idx="3">
                  <c:v>16.858</c:v>
                </c:pt>
                <c:pt idx="4">
                  <c:v>15.394</c:v>
                </c:pt>
                <c:pt idx="5">
                  <c:v>15.297</c:v>
                </c:pt>
                <c:pt idx="6">
                  <c:v>13.964</c:v>
                </c:pt>
                <c:pt idx="7">
                  <c:v>17.826</c:v>
                </c:pt>
                <c:pt idx="8">
                  <c:v>25.371</c:v>
                </c:pt>
                <c:pt idx="9">
                  <c:v>33.796</c:v>
                </c:pt>
                <c:pt idx="10">
                  <c:v>55.441</c:v>
                </c:pt>
                <c:pt idx="11">
                  <c:v>91.161</c:v>
                </c:pt>
                <c:pt idx="12">
                  <c:v>118.224</c:v>
                </c:pt>
                <c:pt idx="13">
                  <c:v>137.142</c:v>
                </c:pt>
                <c:pt idx="14">
                  <c:v>123.517</c:v>
                </c:pt>
                <c:pt idx="15">
                  <c:v>126.759</c:v>
                </c:pt>
                <c:pt idx="16">
                  <c:v>124.47</c:v>
                </c:pt>
                <c:pt idx="17">
                  <c:v>128.572</c:v>
                </c:pt>
                <c:pt idx="18">
                  <c:v>126.625</c:v>
                </c:pt>
                <c:pt idx="19">
                  <c:v>114.348</c:v>
                </c:pt>
                <c:pt idx="20">
                  <c:v>104.583</c:v>
                </c:pt>
                <c:pt idx="21">
                  <c:v>104.316</c:v>
                </c:pt>
                <c:pt idx="22">
                  <c:v>99.607</c:v>
                </c:pt>
              </c:numCache>
            </c:numRef>
          </c:val>
          <c:smooth val="0"/>
        </c:ser>
        <c:axId val="65561917"/>
        <c:axId val="53186342"/>
      </c:lineChart>
      <c:catAx>
        <c:axId val="65561917"/>
        <c:scaling>
          <c:orientation val="minMax"/>
        </c:scaling>
        <c:axPos val="b"/>
        <c:delete val="0"/>
        <c:numFmt formatCode="General" sourceLinked="1"/>
        <c:majorTickMark val="out"/>
        <c:minorTickMark val="none"/>
        <c:tickLblPos val="nextTo"/>
        <c:crossAx val="53186342"/>
        <c:crosses val="autoZero"/>
        <c:auto val="1"/>
        <c:lblOffset val="100"/>
        <c:tickLblSkip val="2"/>
        <c:noMultiLvlLbl val="0"/>
      </c:catAx>
      <c:valAx>
        <c:axId val="53186342"/>
        <c:scaling>
          <c:orientation val="minMax"/>
          <c:max val="160"/>
          <c:min val="0"/>
        </c:scaling>
        <c:axPos val="l"/>
        <c:title>
          <c:tx>
            <c:rich>
              <a:bodyPr vert="horz" rot="-5400000" anchor="ctr"/>
              <a:lstStyle/>
              <a:p>
                <a:pPr algn="ctr">
                  <a:defRPr/>
                </a:pPr>
                <a:r>
                  <a:rPr lang="en-US" cap="none" sz="1000" b="1" i="0" u="none" baseline="0">
                    <a:latin typeface="Arial"/>
                    <a:ea typeface="Arial"/>
                    <a:cs typeface="Arial"/>
                  </a:rPr>
                  <a:t>x1000</a:t>
                </a:r>
              </a:p>
            </c:rich>
          </c:tx>
          <c:layout/>
          <c:overlay val="0"/>
          <c:spPr>
            <a:noFill/>
            <a:ln>
              <a:noFill/>
            </a:ln>
          </c:spPr>
        </c:title>
        <c:delete val="0"/>
        <c:numFmt formatCode="General" sourceLinked="1"/>
        <c:majorTickMark val="out"/>
        <c:minorTickMark val="none"/>
        <c:tickLblPos val="nextTo"/>
        <c:crossAx val="65561917"/>
        <c:crossesAt val="1"/>
        <c:crossBetween val="midCat"/>
        <c:dispUnits/>
        <c:majorUnit val="10"/>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
          <c:w val="0.96675"/>
          <c:h val="1"/>
        </c:manualLayout>
      </c:layout>
      <c:lineChart>
        <c:grouping val="standard"/>
        <c:varyColors val="0"/>
        <c:ser>
          <c:idx val="0"/>
          <c:order val="0"/>
          <c:tx>
            <c:v>Average wages relative to unskilled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wages_relative_to_least_skilled!$A$11:$A$31</c:f>
              <c:numCache>
                <c:ptCount val="2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numCache>
            </c:numRef>
          </c:cat>
          <c:val>
            <c:numRef>
              <c:f>wages_relative_to_least_skilled!$L$11:$L$31</c:f>
              <c:numCache>
                <c:ptCount val="21"/>
                <c:pt idx="0">
                  <c:v>0.8579881656804734</c:v>
                </c:pt>
                <c:pt idx="1">
                  <c:v>0.849112426035503</c:v>
                </c:pt>
                <c:pt idx="2">
                  <c:v>0.8402366863905325</c:v>
                </c:pt>
                <c:pt idx="3">
                  <c:v>0.8550295857988166</c:v>
                </c:pt>
                <c:pt idx="4">
                  <c:v>0.8698224852071006</c:v>
                </c:pt>
                <c:pt idx="5">
                  <c:v>0.7988165680473372</c:v>
                </c:pt>
                <c:pt idx="6">
                  <c:v>0.8047337278106509</c:v>
                </c:pt>
                <c:pt idx="7">
                  <c:v>0.8106508875739645</c:v>
                </c:pt>
                <c:pt idx="8">
                  <c:v>0.8402366863905325</c:v>
                </c:pt>
                <c:pt idx="9">
                  <c:v>0.8698224852071006</c:v>
                </c:pt>
                <c:pt idx="10">
                  <c:v>0.893491124260355</c:v>
                </c:pt>
                <c:pt idx="11">
                  <c:v>0.9289940828402367</c:v>
                </c:pt>
                <c:pt idx="12">
                  <c:v>1</c:v>
                </c:pt>
                <c:pt idx="13">
                  <c:v>1.0059171597633136</c:v>
                </c:pt>
                <c:pt idx="14">
                  <c:v>1.029585798816568</c:v>
                </c:pt>
                <c:pt idx="15">
                  <c:v>1.040096643575769</c:v>
                </c:pt>
                <c:pt idx="16">
                  <c:v>1.03575456781048</c:v>
                </c:pt>
                <c:pt idx="17">
                  <c:v>1.0792687781819401</c:v>
                </c:pt>
                <c:pt idx="18">
                  <c:v>1.0946745562130178</c:v>
                </c:pt>
                <c:pt idx="19">
                  <c:v>1.1296147948421253</c:v>
                </c:pt>
                <c:pt idx="20">
                  <c:v>1.1451412645046597</c:v>
                </c:pt>
              </c:numCache>
            </c:numRef>
          </c:val>
          <c:smooth val="0"/>
        </c:ser>
        <c:ser>
          <c:idx val="1"/>
          <c:order val="1"/>
          <c:tx>
            <c:v>Average wages relative to the 'semi-skilled'</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wages_relative_to_least_skilled!$A$11:$A$31</c:f>
              <c:numCache>
                <c:ptCount val="2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numCache>
            </c:numRef>
          </c:cat>
          <c:val>
            <c:numRef>
              <c:f>wages_relative_to_least_skilled!$M$11:$M$31</c:f>
              <c:numCache>
                <c:ptCount val="21"/>
                <c:pt idx="0">
                  <c:v>0.8267885960193652</c:v>
                </c:pt>
                <c:pt idx="1">
                  <c:v>0.8145331869661838</c:v>
                </c:pt>
                <c:pt idx="2">
                  <c:v>0.8023881870035716</c:v>
                </c:pt>
                <c:pt idx="3">
                  <c:v>0.8128532385172605</c:v>
                </c:pt>
                <c:pt idx="4">
                  <c:v>0.8232248520710059</c:v>
                </c:pt>
                <c:pt idx="5">
                  <c:v>0.8141784251251707</c:v>
                </c:pt>
                <c:pt idx="6">
                  <c:v>0.8085476317339241</c:v>
                </c:pt>
                <c:pt idx="7">
                  <c:v>0.8030747110545816</c:v>
                </c:pt>
                <c:pt idx="8">
                  <c:v>0.8323840070784714</c:v>
                </c:pt>
                <c:pt idx="9">
                  <c:v>0.8616933031023614</c:v>
                </c:pt>
                <c:pt idx="10">
                  <c:v>0.8851407399214732</c:v>
                </c:pt>
                <c:pt idx="11">
                  <c:v>0.9117904887135656</c:v>
                </c:pt>
                <c:pt idx="12">
                  <c:v>1</c:v>
                </c:pt>
                <c:pt idx="13">
                  <c:v>0.9965160648122545</c:v>
                </c:pt>
                <c:pt idx="14">
                  <c:v>1.0012485749959286</c:v>
                </c:pt>
                <c:pt idx="15">
                  <c:v>1.0558327602456303</c:v>
                </c:pt>
                <c:pt idx="16">
                  <c:v>1.0206700380927611</c:v>
                </c:pt>
                <c:pt idx="17">
                  <c:v>1.0293342354266883</c:v>
                </c:pt>
                <c:pt idx="18">
                  <c:v>0.9917564355434177</c:v>
                </c:pt>
                <c:pt idx="19">
                  <c:v>1.0542136434993579</c:v>
                </c:pt>
                <c:pt idx="20">
                  <c:v>1.0707275664409204</c:v>
                </c:pt>
              </c:numCache>
            </c:numRef>
          </c:val>
          <c:smooth val="0"/>
        </c:ser>
        <c:axId val="8915031"/>
        <c:axId val="13126416"/>
      </c:lineChart>
      <c:catAx>
        <c:axId val="8915031"/>
        <c:scaling>
          <c:orientation val="minMax"/>
        </c:scaling>
        <c:axPos val="b"/>
        <c:delete val="0"/>
        <c:numFmt formatCode="General" sourceLinked="1"/>
        <c:majorTickMark val="out"/>
        <c:minorTickMark val="none"/>
        <c:tickLblPos val="nextTo"/>
        <c:crossAx val="13126416"/>
        <c:crosses val="autoZero"/>
        <c:auto val="1"/>
        <c:lblOffset val="100"/>
        <c:tickLblSkip val="2"/>
        <c:noMultiLvlLbl val="0"/>
      </c:catAx>
      <c:valAx>
        <c:axId val="13126416"/>
        <c:scaling>
          <c:orientation val="minMax"/>
          <c:max val="1.2"/>
          <c:min val="0.7"/>
        </c:scaling>
        <c:axPos val="l"/>
        <c:title>
          <c:tx>
            <c:rich>
              <a:bodyPr vert="horz" rot="-5400000" anchor="ctr"/>
              <a:lstStyle/>
              <a:p>
                <a:pPr algn="ctr">
                  <a:defRPr/>
                </a:pPr>
                <a:r>
                  <a:rPr lang="en-US"/>
                  <a:t>1993=1</a:t>
                </a:r>
              </a:p>
            </c:rich>
          </c:tx>
          <c:layout/>
          <c:overlay val="0"/>
          <c:spPr>
            <a:noFill/>
            <a:ln>
              <a:noFill/>
            </a:ln>
          </c:spPr>
        </c:title>
        <c:delete val="0"/>
        <c:numFmt formatCode="0.00" sourceLinked="0"/>
        <c:majorTickMark val="out"/>
        <c:minorTickMark val="none"/>
        <c:tickLblPos val="nextTo"/>
        <c:crossAx val="8915031"/>
        <c:crossesAt val="1"/>
        <c:crossBetween val="midCat"/>
        <c:dispUnits/>
      </c:valAx>
      <c:spPr>
        <a:noFill/>
        <a:ln>
          <a:noFill/>
        </a:ln>
      </c:spPr>
    </c:plotArea>
    <c:legend>
      <c:legendPos val="r"/>
      <c:layout>
        <c:manualLayout>
          <c:xMode val="edge"/>
          <c:yMode val="edge"/>
          <c:x val="0.10825"/>
          <c:y val="0.041"/>
          <c:w val="0.5735"/>
          <c:h val="0.1802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Average wages relative to unskilled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wages_relative_to_least_skilled!$A$11:$A$31</c:f>
              <c:numCache>
                <c:ptCount val="2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numCache>
            </c:numRef>
          </c:cat>
          <c:val>
            <c:numRef>
              <c:f>wages_relative_to_least_skilled!$L$11:$L$31</c:f>
              <c:numCache>
                <c:ptCount val="21"/>
                <c:pt idx="0">
                  <c:v>0.8579881656804734</c:v>
                </c:pt>
                <c:pt idx="1">
                  <c:v>0.849112426035503</c:v>
                </c:pt>
                <c:pt idx="2">
                  <c:v>0.8402366863905325</c:v>
                </c:pt>
                <c:pt idx="3">
                  <c:v>0.8550295857988166</c:v>
                </c:pt>
                <c:pt idx="4">
                  <c:v>0.8698224852071006</c:v>
                </c:pt>
                <c:pt idx="5">
                  <c:v>0.7988165680473372</c:v>
                </c:pt>
                <c:pt idx="6">
                  <c:v>0.8047337278106509</c:v>
                </c:pt>
                <c:pt idx="7">
                  <c:v>0.8106508875739645</c:v>
                </c:pt>
                <c:pt idx="8">
                  <c:v>0.8402366863905325</c:v>
                </c:pt>
                <c:pt idx="9">
                  <c:v>0.8698224852071006</c:v>
                </c:pt>
                <c:pt idx="10">
                  <c:v>0.893491124260355</c:v>
                </c:pt>
                <c:pt idx="11">
                  <c:v>0.9289940828402367</c:v>
                </c:pt>
                <c:pt idx="12">
                  <c:v>1</c:v>
                </c:pt>
                <c:pt idx="13">
                  <c:v>1.0059171597633136</c:v>
                </c:pt>
                <c:pt idx="14">
                  <c:v>1.029585798816568</c:v>
                </c:pt>
                <c:pt idx="15">
                  <c:v>1.040096643575769</c:v>
                </c:pt>
                <c:pt idx="16">
                  <c:v>1.03575456781048</c:v>
                </c:pt>
                <c:pt idx="17">
                  <c:v>1.0792687781819401</c:v>
                </c:pt>
                <c:pt idx="18">
                  <c:v>1.0946745562130178</c:v>
                </c:pt>
                <c:pt idx="19">
                  <c:v>1.1296147948421253</c:v>
                </c:pt>
                <c:pt idx="20">
                  <c:v>1.1451412645046597</c:v>
                </c:pt>
              </c:numCache>
            </c:numRef>
          </c:val>
          <c:smooth val="0"/>
        </c:ser>
        <c:ser>
          <c:idx val="1"/>
          <c:order val="1"/>
          <c:tx>
            <c:v>Average wages relative to the 'semi-skilled'</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wages_relative_to_least_skilled!$A$11:$A$31</c:f>
              <c:numCache>
                <c:ptCount val="2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numCache>
            </c:numRef>
          </c:cat>
          <c:val>
            <c:numRef>
              <c:f>wages_relative_to_least_skilled!$M$11:$M$31</c:f>
              <c:numCache>
                <c:ptCount val="21"/>
                <c:pt idx="0">
                  <c:v>0.8267885960193652</c:v>
                </c:pt>
                <c:pt idx="1">
                  <c:v>0.8145331869661838</c:v>
                </c:pt>
                <c:pt idx="2">
                  <c:v>0.8023881870035716</c:v>
                </c:pt>
                <c:pt idx="3">
                  <c:v>0.8128532385172605</c:v>
                </c:pt>
                <c:pt idx="4">
                  <c:v>0.8232248520710059</c:v>
                </c:pt>
                <c:pt idx="5">
                  <c:v>0.8141784251251707</c:v>
                </c:pt>
                <c:pt idx="6">
                  <c:v>0.8085476317339241</c:v>
                </c:pt>
                <c:pt idx="7">
                  <c:v>0.8030747110545816</c:v>
                </c:pt>
                <c:pt idx="8">
                  <c:v>0.8323840070784714</c:v>
                </c:pt>
                <c:pt idx="9">
                  <c:v>0.8616933031023614</c:v>
                </c:pt>
                <c:pt idx="10">
                  <c:v>0.8851407399214732</c:v>
                </c:pt>
                <c:pt idx="11">
                  <c:v>0.9117904887135656</c:v>
                </c:pt>
                <c:pt idx="12">
                  <c:v>1</c:v>
                </c:pt>
                <c:pt idx="13">
                  <c:v>0.9965160648122545</c:v>
                </c:pt>
                <c:pt idx="14">
                  <c:v>1.0012485749959286</c:v>
                </c:pt>
                <c:pt idx="15">
                  <c:v>1.0558327602456303</c:v>
                </c:pt>
                <c:pt idx="16">
                  <c:v>1.0206700380927611</c:v>
                </c:pt>
                <c:pt idx="17">
                  <c:v>1.0293342354266883</c:v>
                </c:pt>
                <c:pt idx="18">
                  <c:v>0.9917564355434177</c:v>
                </c:pt>
                <c:pt idx="19">
                  <c:v>1.0542136434993579</c:v>
                </c:pt>
                <c:pt idx="20">
                  <c:v>1.0707275664409204</c:v>
                </c:pt>
              </c:numCache>
            </c:numRef>
          </c:val>
          <c:smooth val="0"/>
        </c:ser>
        <c:axId val="51028881"/>
        <c:axId val="56606746"/>
      </c:lineChart>
      <c:catAx>
        <c:axId val="51028881"/>
        <c:scaling>
          <c:orientation val="minMax"/>
        </c:scaling>
        <c:axPos val="b"/>
        <c:delete val="0"/>
        <c:numFmt formatCode="General" sourceLinked="1"/>
        <c:majorTickMark val="out"/>
        <c:minorTickMark val="none"/>
        <c:tickLblPos val="nextTo"/>
        <c:crossAx val="56606746"/>
        <c:crosses val="autoZero"/>
        <c:auto val="1"/>
        <c:lblOffset val="100"/>
        <c:tickLblSkip val="2"/>
        <c:noMultiLvlLbl val="0"/>
      </c:catAx>
      <c:valAx>
        <c:axId val="56606746"/>
        <c:scaling>
          <c:orientation val="minMax"/>
          <c:max val="1.2"/>
          <c:min val="0.7"/>
        </c:scaling>
        <c:axPos val="l"/>
        <c:title>
          <c:tx>
            <c:rich>
              <a:bodyPr vert="horz" rot="-5400000" anchor="ctr"/>
              <a:lstStyle/>
              <a:p>
                <a:pPr algn="ctr">
                  <a:defRPr/>
                </a:pPr>
                <a:r>
                  <a:rPr lang="en-US" cap="none" sz="1000" b="1" i="0" u="none" baseline="0">
                    <a:latin typeface="Arial"/>
                    <a:ea typeface="Arial"/>
                    <a:cs typeface="Arial"/>
                  </a:rPr>
                  <a:t>1993=1</a:t>
                </a:r>
              </a:p>
            </c:rich>
          </c:tx>
          <c:layout/>
          <c:overlay val="0"/>
          <c:spPr>
            <a:noFill/>
            <a:ln>
              <a:noFill/>
            </a:ln>
          </c:spPr>
        </c:title>
        <c:delete val="0"/>
        <c:numFmt formatCode="0.00" sourceLinked="0"/>
        <c:majorTickMark val="out"/>
        <c:minorTickMark val="none"/>
        <c:tickLblPos val="nextTo"/>
        <c:crossAx val="51028881"/>
        <c:crossesAt val="1"/>
        <c:crossBetween val="midCat"/>
        <c:dispUnits/>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
          <c:w val="0.96475"/>
          <c:h val="1"/>
        </c:manualLayout>
      </c:layout>
      <c:lineChart>
        <c:grouping val="standard"/>
        <c:varyColors val="0"/>
        <c:ser>
          <c:idx val="0"/>
          <c:order val="0"/>
          <c:tx>
            <c:v>Employment high- over low-skilled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'low- and high-skilled'!$C$3:$L$3</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'low- and high-skilled'!$C$18:$L$18</c:f>
              <c:numCache>
                <c:ptCount val="10"/>
                <c:pt idx="0">
                  <c:v>1</c:v>
                </c:pt>
                <c:pt idx="1">
                  <c:v>1.0207844975777465</c:v>
                </c:pt>
                <c:pt idx="2">
                  <c:v>0.9684388689765034</c:v>
                </c:pt>
                <c:pt idx="3">
                  <c:v>0.9023930096316156</c:v>
                </c:pt>
                <c:pt idx="4">
                  <c:v>0.9265016311648435</c:v>
                </c:pt>
                <c:pt idx="5">
                  <c:v>1.0170223203335786</c:v>
                </c:pt>
                <c:pt idx="6">
                  <c:v>1.0718599033816425</c:v>
                </c:pt>
                <c:pt idx="7">
                  <c:v>1.0942083022619935</c:v>
                </c:pt>
                <c:pt idx="8">
                  <c:v>1.1031955438287893</c:v>
                </c:pt>
                <c:pt idx="9">
                  <c:v>1.182094611435123</c:v>
                </c:pt>
              </c:numCache>
            </c:numRef>
          </c:val>
          <c:smooth val="0"/>
        </c:ser>
        <c:ser>
          <c:idx val="1"/>
          <c:order val="1"/>
          <c:tx>
            <c:v>Wages high- over low-skilled</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'low- and high-skilled'!$C$3:$L$3</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'low- and high-skilled'!$C$32:$L$32</c:f>
              <c:numCache>
                <c:ptCount val="10"/>
                <c:pt idx="0">
                  <c:v>1</c:v>
                </c:pt>
                <c:pt idx="1">
                  <c:v>1.016577351254792</c:v>
                </c:pt>
                <c:pt idx="2">
                  <c:v>0.9953311209321056</c:v>
                </c:pt>
                <c:pt idx="3">
                  <c:v>0.9861530323680289</c:v>
                </c:pt>
                <c:pt idx="4">
                  <c:v>1.1035768677679072</c:v>
                </c:pt>
                <c:pt idx="5">
                  <c:v>1.2228938122122632</c:v>
                </c:pt>
                <c:pt idx="6">
                  <c:v>1.038285938086694</c:v>
                </c:pt>
                <c:pt idx="7">
                  <c:v>1.0159112697915729</c:v>
                </c:pt>
                <c:pt idx="8">
                  <c:v>1.0287051683355442</c:v>
                </c:pt>
                <c:pt idx="9">
                  <c:v>1.0964280255849166</c:v>
                </c:pt>
              </c:numCache>
            </c:numRef>
          </c:val>
          <c:smooth val="0"/>
        </c:ser>
        <c:axId val="39698667"/>
        <c:axId val="21743684"/>
      </c:lineChart>
      <c:catAx>
        <c:axId val="39698667"/>
        <c:scaling>
          <c:orientation val="minMax"/>
        </c:scaling>
        <c:axPos val="b"/>
        <c:delete val="0"/>
        <c:numFmt formatCode="General" sourceLinked="1"/>
        <c:majorTickMark val="out"/>
        <c:minorTickMark val="none"/>
        <c:tickLblPos val="nextTo"/>
        <c:crossAx val="21743684"/>
        <c:crosses val="autoZero"/>
        <c:auto val="1"/>
        <c:lblOffset val="100"/>
        <c:noMultiLvlLbl val="0"/>
      </c:catAx>
      <c:valAx>
        <c:axId val="21743684"/>
        <c:scaling>
          <c:orientation val="minMax"/>
          <c:max val="1.3"/>
          <c:min val="0.7"/>
        </c:scaling>
        <c:axPos val="l"/>
        <c:title>
          <c:tx>
            <c:rich>
              <a:bodyPr vert="horz" rot="-5400000" anchor="ctr"/>
              <a:lstStyle/>
              <a:p>
                <a:pPr algn="ctr">
                  <a:defRPr/>
                </a:pPr>
                <a:r>
                  <a:rPr lang="en-US"/>
                  <a:t>1993=1</a:t>
                </a:r>
              </a:p>
            </c:rich>
          </c:tx>
          <c:layout>
            <c:manualLayout>
              <c:xMode val="factor"/>
              <c:yMode val="factor"/>
              <c:x val="-0.00475"/>
              <c:y val="-0.00225"/>
            </c:manualLayout>
          </c:layout>
          <c:overlay val="0"/>
          <c:spPr>
            <a:noFill/>
            <a:ln>
              <a:noFill/>
            </a:ln>
          </c:spPr>
        </c:title>
        <c:delete val="0"/>
        <c:numFmt formatCode="General" sourceLinked="1"/>
        <c:majorTickMark val="out"/>
        <c:minorTickMark val="none"/>
        <c:tickLblPos val="nextTo"/>
        <c:crossAx val="39698667"/>
        <c:crossesAt val="1"/>
        <c:crossBetween val="midCat"/>
        <c:dispUnits/>
        <c:majorUnit val="0.1"/>
      </c:valAx>
      <c:spPr>
        <a:noFill/>
        <a:ln>
          <a:noFill/>
        </a:ln>
      </c:spPr>
    </c:plotArea>
    <c:legend>
      <c:legendPos val="r"/>
      <c:layout>
        <c:manualLayout>
          <c:xMode val="edge"/>
          <c:yMode val="edge"/>
          <c:x val="0.109"/>
          <c:y val="0.0265"/>
          <c:w val="0.39575"/>
          <c:h val="0.1817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5.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3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130"/>
  </sheetViews>
  <pageMargins left="0.75" right="0.75" top="1" bottom="1" header="0.5" footer="0.5"/>
  <pageSetup horizontalDpi="600" verticalDpi="6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130"/>
  </sheetViews>
  <pageMargins left="0.75" right="0.75" top="1" bottom="1" header="0.5" footer="0.5"/>
  <pageSetup horizontalDpi="600" verticalDpi="6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130"/>
  </sheetViews>
  <pageMargins left="0.75" right="0.75" top="1" bottom="1" header="0.5" footer="0.5"/>
  <pageSetup horizontalDpi="600" verticalDpi="6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13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4</xdr:row>
      <xdr:rowOff>142875</xdr:rowOff>
    </xdr:from>
    <xdr:to>
      <xdr:col>11</xdr:col>
      <xdr:colOff>323850</xdr:colOff>
      <xdr:row>19</xdr:row>
      <xdr:rowOff>28575</xdr:rowOff>
    </xdr:to>
    <xdr:graphicFrame>
      <xdr:nvGraphicFramePr>
        <xdr:cNvPr id="1" name="Chart 1"/>
        <xdr:cNvGraphicFramePr/>
      </xdr:nvGraphicFramePr>
      <xdr:xfrm>
        <a:off x="962025" y="790575"/>
        <a:ext cx="6067425" cy="23145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14</xdr:row>
      <xdr:rowOff>123825</xdr:rowOff>
    </xdr:from>
    <xdr:to>
      <xdr:col>12</xdr:col>
      <xdr:colOff>466725</xdr:colOff>
      <xdr:row>28</xdr:row>
      <xdr:rowOff>133350</xdr:rowOff>
    </xdr:to>
    <xdr:graphicFrame>
      <xdr:nvGraphicFramePr>
        <xdr:cNvPr id="1" name="Chart 1"/>
        <xdr:cNvGraphicFramePr/>
      </xdr:nvGraphicFramePr>
      <xdr:xfrm>
        <a:off x="1771650" y="2390775"/>
        <a:ext cx="6010275" cy="22764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13</xdr:row>
      <xdr:rowOff>142875</xdr:rowOff>
    </xdr:from>
    <xdr:to>
      <xdr:col>11</xdr:col>
      <xdr:colOff>342900</xdr:colOff>
      <xdr:row>28</xdr:row>
      <xdr:rowOff>123825</xdr:rowOff>
    </xdr:to>
    <xdr:graphicFrame>
      <xdr:nvGraphicFramePr>
        <xdr:cNvPr id="1" name="Chart 1"/>
        <xdr:cNvGraphicFramePr/>
      </xdr:nvGraphicFramePr>
      <xdr:xfrm>
        <a:off x="1066800" y="2247900"/>
        <a:ext cx="5981700" cy="2409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15</xdr:row>
      <xdr:rowOff>152400</xdr:rowOff>
    </xdr:from>
    <xdr:to>
      <xdr:col>12</xdr:col>
      <xdr:colOff>190500</xdr:colOff>
      <xdr:row>30</xdr:row>
      <xdr:rowOff>66675</xdr:rowOff>
    </xdr:to>
    <xdr:graphicFrame>
      <xdr:nvGraphicFramePr>
        <xdr:cNvPr id="1" name="Chart 1"/>
        <xdr:cNvGraphicFramePr/>
      </xdr:nvGraphicFramePr>
      <xdr:xfrm>
        <a:off x="1552575" y="2581275"/>
        <a:ext cx="5953125" cy="23431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13</xdr:row>
      <xdr:rowOff>28575</xdr:rowOff>
    </xdr:from>
    <xdr:to>
      <xdr:col>11</xdr:col>
      <xdr:colOff>466725</xdr:colOff>
      <xdr:row>28</xdr:row>
      <xdr:rowOff>0</xdr:rowOff>
    </xdr:to>
    <xdr:graphicFrame>
      <xdr:nvGraphicFramePr>
        <xdr:cNvPr id="1" name="Chart 1"/>
        <xdr:cNvGraphicFramePr/>
      </xdr:nvGraphicFramePr>
      <xdr:xfrm>
        <a:off x="1095375" y="2133600"/>
        <a:ext cx="6076950" cy="24003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95250</xdr:colOff>
      <xdr:row>36</xdr:row>
      <xdr:rowOff>57150</xdr:rowOff>
    </xdr:from>
    <xdr:to>
      <xdr:col>49</xdr:col>
      <xdr:colOff>495300</xdr:colOff>
      <xdr:row>60</xdr:row>
      <xdr:rowOff>57150</xdr:rowOff>
    </xdr:to>
    <xdr:graphicFrame>
      <xdr:nvGraphicFramePr>
        <xdr:cNvPr id="1" name="Chart 1"/>
        <xdr:cNvGraphicFramePr/>
      </xdr:nvGraphicFramePr>
      <xdr:xfrm>
        <a:off x="25650825" y="5886450"/>
        <a:ext cx="5886450" cy="3886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0</xdr:rowOff>
    </xdr:from>
    <xdr:to>
      <xdr:col>10</xdr:col>
      <xdr:colOff>142875</xdr:colOff>
      <xdr:row>28</xdr:row>
      <xdr:rowOff>114300</xdr:rowOff>
    </xdr:to>
    <xdr:graphicFrame>
      <xdr:nvGraphicFramePr>
        <xdr:cNvPr id="1" name="Chart 1"/>
        <xdr:cNvGraphicFramePr/>
      </xdr:nvGraphicFramePr>
      <xdr:xfrm>
        <a:off x="238125" y="2266950"/>
        <a:ext cx="6000750" cy="23812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12</xdr:row>
      <xdr:rowOff>0</xdr:rowOff>
    </xdr:from>
    <xdr:to>
      <xdr:col>11</xdr:col>
      <xdr:colOff>590550</xdr:colOff>
      <xdr:row>26</xdr:row>
      <xdr:rowOff>142875</xdr:rowOff>
    </xdr:to>
    <xdr:graphicFrame>
      <xdr:nvGraphicFramePr>
        <xdr:cNvPr id="1" name="Chart 1"/>
        <xdr:cNvGraphicFramePr/>
      </xdr:nvGraphicFramePr>
      <xdr:xfrm>
        <a:off x="1314450" y="1943100"/>
        <a:ext cx="5981700" cy="24098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12</xdr:row>
      <xdr:rowOff>114300</xdr:rowOff>
    </xdr:from>
    <xdr:to>
      <xdr:col>10</xdr:col>
      <xdr:colOff>200025</xdr:colOff>
      <xdr:row>28</xdr:row>
      <xdr:rowOff>133350</xdr:rowOff>
    </xdr:to>
    <xdr:graphicFrame>
      <xdr:nvGraphicFramePr>
        <xdr:cNvPr id="1" name="Chart 1"/>
        <xdr:cNvGraphicFramePr/>
      </xdr:nvGraphicFramePr>
      <xdr:xfrm>
        <a:off x="247650" y="2057400"/>
        <a:ext cx="6048375" cy="26098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95250</xdr:colOff>
      <xdr:row>36</xdr:row>
      <xdr:rowOff>57150</xdr:rowOff>
    </xdr:from>
    <xdr:to>
      <xdr:col>50</xdr:col>
      <xdr:colOff>495300</xdr:colOff>
      <xdr:row>60</xdr:row>
      <xdr:rowOff>57150</xdr:rowOff>
    </xdr:to>
    <xdr:graphicFrame>
      <xdr:nvGraphicFramePr>
        <xdr:cNvPr id="1" name="Chart 1"/>
        <xdr:cNvGraphicFramePr/>
      </xdr:nvGraphicFramePr>
      <xdr:xfrm>
        <a:off x="26193750" y="5886450"/>
        <a:ext cx="5886450" cy="38862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11</xdr:row>
      <xdr:rowOff>114300</xdr:rowOff>
    </xdr:from>
    <xdr:to>
      <xdr:col>10</xdr:col>
      <xdr:colOff>342900</xdr:colOff>
      <xdr:row>27</xdr:row>
      <xdr:rowOff>104775</xdr:rowOff>
    </xdr:to>
    <xdr:graphicFrame>
      <xdr:nvGraphicFramePr>
        <xdr:cNvPr id="1" name="Chart 1"/>
        <xdr:cNvGraphicFramePr/>
      </xdr:nvGraphicFramePr>
      <xdr:xfrm>
        <a:off x="371475" y="1895475"/>
        <a:ext cx="6067425" cy="258127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95250</xdr:colOff>
      <xdr:row>36</xdr:row>
      <xdr:rowOff>57150</xdr:rowOff>
    </xdr:from>
    <xdr:to>
      <xdr:col>55</xdr:col>
      <xdr:colOff>495300</xdr:colOff>
      <xdr:row>60</xdr:row>
      <xdr:rowOff>57150</xdr:rowOff>
    </xdr:to>
    <xdr:graphicFrame>
      <xdr:nvGraphicFramePr>
        <xdr:cNvPr id="1" name="Chart 1"/>
        <xdr:cNvGraphicFramePr/>
      </xdr:nvGraphicFramePr>
      <xdr:xfrm>
        <a:off x="29260800" y="5886450"/>
        <a:ext cx="5886450" cy="3886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13</xdr:row>
      <xdr:rowOff>123825</xdr:rowOff>
    </xdr:from>
    <xdr:to>
      <xdr:col>11</xdr:col>
      <xdr:colOff>571500</xdr:colOff>
      <xdr:row>28</xdr:row>
      <xdr:rowOff>85725</xdr:rowOff>
    </xdr:to>
    <xdr:graphicFrame>
      <xdr:nvGraphicFramePr>
        <xdr:cNvPr id="1" name="Chart 1"/>
        <xdr:cNvGraphicFramePr/>
      </xdr:nvGraphicFramePr>
      <xdr:xfrm>
        <a:off x="1209675" y="2228850"/>
        <a:ext cx="6067425" cy="23907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123825</xdr:rowOff>
    </xdr:from>
    <xdr:to>
      <xdr:col>11</xdr:col>
      <xdr:colOff>133350</xdr:colOff>
      <xdr:row>30</xdr:row>
      <xdr:rowOff>104775</xdr:rowOff>
    </xdr:to>
    <xdr:graphicFrame>
      <xdr:nvGraphicFramePr>
        <xdr:cNvPr id="1" name="Chart 1"/>
        <xdr:cNvGraphicFramePr/>
      </xdr:nvGraphicFramePr>
      <xdr:xfrm>
        <a:off x="828675" y="2390775"/>
        <a:ext cx="6010275" cy="25717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13</xdr:row>
      <xdr:rowOff>85725</xdr:rowOff>
    </xdr:from>
    <xdr:to>
      <xdr:col>11</xdr:col>
      <xdr:colOff>352425</xdr:colOff>
      <xdr:row>28</xdr:row>
      <xdr:rowOff>57150</xdr:rowOff>
    </xdr:to>
    <xdr:graphicFrame>
      <xdr:nvGraphicFramePr>
        <xdr:cNvPr id="1" name="Chart 1"/>
        <xdr:cNvGraphicFramePr/>
      </xdr:nvGraphicFramePr>
      <xdr:xfrm>
        <a:off x="1019175" y="2190750"/>
        <a:ext cx="6038850" cy="240030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11</xdr:row>
      <xdr:rowOff>95250</xdr:rowOff>
    </xdr:from>
    <xdr:to>
      <xdr:col>12</xdr:col>
      <xdr:colOff>47625</xdr:colOff>
      <xdr:row>26</xdr:row>
      <xdr:rowOff>9525</xdr:rowOff>
    </xdr:to>
    <xdr:graphicFrame>
      <xdr:nvGraphicFramePr>
        <xdr:cNvPr id="1" name="Chart 1"/>
        <xdr:cNvGraphicFramePr/>
      </xdr:nvGraphicFramePr>
      <xdr:xfrm>
        <a:off x="1371600" y="1876425"/>
        <a:ext cx="5991225" cy="234315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13</xdr:row>
      <xdr:rowOff>66675</xdr:rowOff>
    </xdr:from>
    <xdr:to>
      <xdr:col>12</xdr:col>
      <xdr:colOff>276225</xdr:colOff>
      <xdr:row>27</xdr:row>
      <xdr:rowOff>66675</xdr:rowOff>
    </xdr:to>
    <xdr:graphicFrame>
      <xdr:nvGraphicFramePr>
        <xdr:cNvPr id="1" name="Chart 1"/>
        <xdr:cNvGraphicFramePr/>
      </xdr:nvGraphicFramePr>
      <xdr:xfrm>
        <a:off x="1628775" y="2171700"/>
        <a:ext cx="5962650" cy="22669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95250</xdr:colOff>
      <xdr:row>36</xdr:row>
      <xdr:rowOff>57150</xdr:rowOff>
    </xdr:from>
    <xdr:to>
      <xdr:col>55</xdr:col>
      <xdr:colOff>495300</xdr:colOff>
      <xdr:row>60</xdr:row>
      <xdr:rowOff>57150</xdr:rowOff>
    </xdr:to>
    <xdr:graphicFrame>
      <xdr:nvGraphicFramePr>
        <xdr:cNvPr id="1" name="Chart 1"/>
        <xdr:cNvGraphicFramePr/>
      </xdr:nvGraphicFramePr>
      <xdr:xfrm>
        <a:off x="33270825" y="5886450"/>
        <a:ext cx="5886450" cy="388620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12</xdr:row>
      <xdr:rowOff>57150</xdr:rowOff>
    </xdr:from>
    <xdr:to>
      <xdr:col>12</xdr:col>
      <xdr:colOff>28575</xdr:colOff>
      <xdr:row>27</xdr:row>
      <xdr:rowOff>66675</xdr:rowOff>
    </xdr:to>
    <xdr:graphicFrame>
      <xdr:nvGraphicFramePr>
        <xdr:cNvPr id="1" name="Chart 1"/>
        <xdr:cNvGraphicFramePr/>
      </xdr:nvGraphicFramePr>
      <xdr:xfrm>
        <a:off x="1352550" y="2000250"/>
        <a:ext cx="5991225" cy="2438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95250</xdr:colOff>
      <xdr:row>36</xdr:row>
      <xdr:rowOff>57150</xdr:rowOff>
    </xdr:from>
    <xdr:to>
      <xdr:col>55</xdr:col>
      <xdr:colOff>495300</xdr:colOff>
      <xdr:row>60</xdr:row>
      <xdr:rowOff>57150</xdr:rowOff>
    </xdr:to>
    <xdr:graphicFrame>
      <xdr:nvGraphicFramePr>
        <xdr:cNvPr id="1" name="Chart 1"/>
        <xdr:cNvGraphicFramePr/>
      </xdr:nvGraphicFramePr>
      <xdr:xfrm>
        <a:off x="33270825" y="5886450"/>
        <a:ext cx="5886450" cy="3886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14</xdr:row>
      <xdr:rowOff>38100</xdr:rowOff>
    </xdr:from>
    <xdr:to>
      <xdr:col>13</xdr:col>
      <xdr:colOff>209550</xdr:colOff>
      <xdr:row>28</xdr:row>
      <xdr:rowOff>152400</xdr:rowOff>
    </xdr:to>
    <xdr:graphicFrame>
      <xdr:nvGraphicFramePr>
        <xdr:cNvPr id="1" name="Chart 1"/>
        <xdr:cNvGraphicFramePr/>
      </xdr:nvGraphicFramePr>
      <xdr:xfrm>
        <a:off x="2047875" y="2305050"/>
        <a:ext cx="6086475" cy="2381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6</xdr:row>
      <xdr:rowOff>152400</xdr:rowOff>
    </xdr:from>
    <xdr:to>
      <xdr:col>11</xdr:col>
      <xdr:colOff>561975</xdr:colOff>
      <xdr:row>21</xdr:row>
      <xdr:rowOff>133350</xdr:rowOff>
    </xdr:to>
    <xdr:graphicFrame>
      <xdr:nvGraphicFramePr>
        <xdr:cNvPr id="1" name="Chart 1"/>
        <xdr:cNvGraphicFramePr/>
      </xdr:nvGraphicFramePr>
      <xdr:xfrm>
        <a:off x="1285875" y="1123950"/>
        <a:ext cx="5981700" cy="2409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13</xdr:row>
      <xdr:rowOff>95250</xdr:rowOff>
    </xdr:from>
    <xdr:to>
      <xdr:col>11</xdr:col>
      <xdr:colOff>361950</xdr:colOff>
      <xdr:row>29</xdr:row>
      <xdr:rowOff>104775</xdr:rowOff>
    </xdr:to>
    <xdr:graphicFrame>
      <xdr:nvGraphicFramePr>
        <xdr:cNvPr id="1" name="Chart 1"/>
        <xdr:cNvGraphicFramePr/>
      </xdr:nvGraphicFramePr>
      <xdr:xfrm>
        <a:off x="1038225" y="2200275"/>
        <a:ext cx="6029325" cy="2600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Jongen\reports\past_and_future_gdp\report\word\base_projec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lo\Preb\0405prebivalstv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elo\SOL\SOL-baza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_scenario_with_human_cap"/>
      <sheetName val="future_growth_decomposition"/>
      <sheetName val="graph_decomp"/>
      <sheetName val="past_eu_growth"/>
      <sheetName val="eu_growth"/>
      <sheetName val="endogenous_variables"/>
      <sheetName val="future_i_y"/>
      <sheetName val="future_wage"/>
      <sheetName val="gdp_gap"/>
      <sheetName val="Worldscan_results"/>
    </sheetNames>
    <sheetDataSet>
      <sheetData sheetId="3">
        <row r="18">
          <cell r="L18">
            <v>0.007674144037780328</v>
          </cell>
        </row>
        <row r="19">
          <cell r="L19">
            <v>-0.008787346221441172</v>
          </cell>
        </row>
        <row r="20">
          <cell r="L20">
            <v>0.024231678486997588</v>
          </cell>
        </row>
        <row r="21">
          <cell r="L21">
            <v>0.020196191575302835</v>
          </cell>
        </row>
        <row r="22">
          <cell r="L22">
            <v>0.013574660633484115</v>
          </cell>
        </row>
        <row r="23">
          <cell r="L23">
            <v>0.022321428571428603</v>
          </cell>
        </row>
        <row r="24">
          <cell r="L24">
            <v>0.026746724890829743</v>
          </cell>
        </row>
        <row r="25">
          <cell r="L25">
            <v>0.026049973418394545</v>
          </cell>
          <cell r="O25">
            <v>0.02654320987654324</v>
          </cell>
        </row>
        <row r="26">
          <cell r="L26">
            <v>0.031606217616580334</v>
          </cell>
          <cell r="O26">
            <v>0.03487672880336734</v>
          </cell>
        </row>
        <row r="27">
          <cell r="L27">
            <v>0.012054244098443023</v>
          </cell>
          <cell r="O27">
            <v>0.01568855316676343</v>
          </cell>
        </row>
        <row r="28">
          <cell r="L28">
            <v>0.006451612903225712</v>
          </cell>
          <cell r="M28">
            <v>0.006451612903225712</v>
          </cell>
          <cell r="O28">
            <v>0.008581235697940448</v>
          </cell>
          <cell r="P28">
            <v>0.008581235697940448</v>
          </cell>
        </row>
        <row r="29">
          <cell r="M29">
            <v>0.002958579881656709</v>
          </cell>
          <cell r="P29">
            <v>0.004537719795802531</v>
          </cell>
        </row>
        <row r="30">
          <cell r="M30">
            <v>0.01671583087512296</v>
          </cell>
          <cell r="P30">
            <v>0.01806888763410508</v>
          </cell>
        </row>
        <row r="31">
          <cell r="M31">
            <v>0.020793036750483607</v>
          </cell>
          <cell r="P31">
            <v>0.021630615640598982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BIVALSTVO"/>
      <sheetName val="TRG DELA"/>
      <sheetName val="IZOBRAŽEVANJE"/>
      <sheetName val="A"/>
    </sheetNames>
    <sheetDataSet>
      <sheetData sheetId="0">
        <row r="3">
          <cell r="D3">
            <v>71.07166666666667</v>
          </cell>
          <cell r="F3">
            <v>72.30850574225671</v>
          </cell>
          <cell r="I3">
            <v>72.96124946230985</v>
          </cell>
          <cell r="N3">
            <v>73.99932185365333</v>
          </cell>
          <cell r="Q3">
            <v>74.60554567728296</v>
          </cell>
          <cell r="S3">
            <v>75.00267831380025</v>
          </cell>
          <cell r="T3">
            <v>79.9976934712348</v>
          </cell>
        </row>
        <row r="4">
          <cell r="D4">
            <v>78.52666666666666</v>
          </cell>
          <cell r="F4">
            <v>79.90085475508043</v>
          </cell>
          <cell r="I4">
            <v>80.41522764546207</v>
          </cell>
          <cell r="N4">
            <v>81.2235914528615</v>
          </cell>
          <cell r="Q4">
            <v>81.69345686197558</v>
          </cell>
          <cell r="S4">
            <v>82.00016304854414</v>
          </cell>
          <cell r="T4">
            <v>84.99803990130147</v>
          </cell>
        </row>
        <row r="5">
          <cell r="D5">
            <v>1.2533333333333334</v>
          </cell>
          <cell r="F5">
            <v>1.1980943337983205</v>
          </cell>
          <cell r="I5">
            <v>1.1980943337983205</v>
          </cell>
          <cell r="N5">
            <v>1.3</v>
          </cell>
          <cell r="Q5">
            <v>1.341126817506511</v>
          </cell>
          <cell r="S5">
            <v>1.3692650084046085</v>
          </cell>
          <cell r="T5">
            <v>1.969230769230762</v>
          </cell>
        </row>
        <row r="6">
          <cell r="D6">
            <v>2384</v>
          </cell>
          <cell r="F6">
            <v>1865</v>
          </cell>
          <cell r="I6">
            <v>2500</v>
          </cell>
          <cell r="N6">
            <v>2500</v>
          </cell>
          <cell r="Q6">
            <v>2500</v>
          </cell>
          <cell r="S6">
            <v>2500</v>
          </cell>
          <cell r="T6">
            <v>2500</v>
          </cell>
        </row>
        <row r="7">
          <cell r="D7">
            <v>1987.3256666666668</v>
          </cell>
          <cell r="F7">
            <v>1995.718</v>
          </cell>
          <cell r="I7">
            <v>1996.127487250376</v>
          </cell>
          <cell r="N7">
            <v>1994.5158013889713</v>
          </cell>
          <cell r="Q7">
            <v>1991.8719067624704</v>
          </cell>
          <cell r="S7">
            <v>1988.6705308784283</v>
          </cell>
          <cell r="T7">
            <v>1776.7308919416955</v>
          </cell>
        </row>
        <row r="14">
          <cell r="F14">
            <v>15.173486434456171</v>
          </cell>
          <cell r="I14">
            <v>14.214067835577138</v>
          </cell>
          <cell r="L14">
            <v>13.710352215295533</v>
          </cell>
          <cell r="N14">
            <v>13.534671153917326</v>
          </cell>
          <cell r="Q14">
            <v>13.42325686841814</v>
          </cell>
          <cell r="S14">
            <v>13.414788762450774</v>
          </cell>
          <cell r="T14">
            <v>14.335539406860992</v>
          </cell>
        </row>
        <row r="15">
          <cell r="F15">
            <v>70.19348424977878</v>
          </cell>
          <cell r="I15">
            <v>70.39980665766325</v>
          </cell>
          <cell r="L15">
            <v>70.08098103306997</v>
          </cell>
          <cell r="N15">
            <v>69.96954243786082</v>
          </cell>
          <cell r="Q15">
            <v>69.34482811181648</v>
          </cell>
          <cell r="S15">
            <v>68.51315840306515</v>
          </cell>
          <cell r="T15">
            <v>54.88460229760164</v>
          </cell>
        </row>
        <row r="16">
          <cell r="F16">
            <v>14.633029315765054</v>
          </cell>
          <cell r="I16">
            <v>15.38612550675962</v>
          </cell>
          <cell r="L16">
            <v>16.208666751634485</v>
          </cell>
          <cell r="N16">
            <v>16.49578640822186</v>
          </cell>
          <cell r="Q16">
            <v>17.231915019765363</v>
          </cell>
          <cell r="S16">
            <v>18.07205283448407</v>
          </cell>
          <cell r="T16">
            <v>30.779858295537355</v>
          </cell>
        </row>
        <row r="18">
          <cell r="F18">
            <v>100</v>
          </cell>
          <cell r="I18">
            <v>100.02051829218235</v>
          </cell>
          <cell r="L18">
            <v>99.9763212398878</v>
          </cell>
          <cell r="N18">
            <v>99.93976109795929</v>
          </cell>
          <cell r="Q18">
            <v>99.80728273044942</v>
          </cell>
          <cell r="S18">
            <v>99.64687049364831</v>
          </cell>
          <cell r="T18">
            <v>89.02715172893643</v>
          </cell>
        </row>
        <row r="19">
          <cell r="F19">
            <v>100</v>
          </cell>
          <cell r="I19">
            <v>93.69622717203944</v>
          </cell>
          <cell r="L19">
            <v>90.3359015944921</v>
          </cell>
          <cell r="N19">
            <v>89.1457482434833</v>
          </cell>
          <cell r="Q19">
            <v>88.2947237747126</v>
          </cell>
          <cell r="S19">
            <v>88.0972032555477</v>
          </cell>
          <cell r="T19">
            <v>84.11067867649909</v>
          </cell>
        </row>
        <row r="20">
          <cell r="F20">
            <v>100</v>
          </cell>
          <cell r="I20">
            <v>100.31451244837018</v>
          </cell>
          <cell r="L20">
            <v>99.81608332244556</v>
          </cell>
          <cell r="N20">
            <v>99.62091823922208</v>
          </cell>
          <cell r="Q20">
            <v>98.60058863330033</v>
          </cell>
          <cell r="S20">
            <v>97.2614751279078</v>
          </cell>
          <cell r="T20">
            <v>69.61073194405951</v>
          </cell>
        </row>
        <row r="21">
          <cell r="F21">
            <v>100</v>
          </cell>
          <cell r="I21">
            <v>105.16812441813966</v>
          </cell>
          <cell r="L21">
            <v>110.74144929688983</v>
          </cell>
          <cell r="N21">
            <v>112.66190459856018</v>
          </cell>
          <cell r="Q21">
            <v>117.53346332135601</v>
          </cell>
          <cell r="S21">
            <v>123.06566668407253</v>
          </cell>
          <cell r="T21">
            <v>187.26424006543442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
      <sheetName val="P"/>
      <sheetName val="Pmin"/>
      <sheetName val="P91"/>
      <sheetName val="P02"/>
      <sheetName val="T"/>
      <sheetName val="TA"/>
      <sheetName val="Sheet11"/>
      <sheetName val="Sheet12"/>
      <sheetName val="Sheet13"/>
      <sheetName val="Sheet14"/>
      <sheetName val="Sheet15"/>
      <sheetName val="Sheet16"/>
      <sheetName val="Ptrend"/>
    </sheetNames>
    <sheetDataSet>
      <sheetData sheetId="1">
        <row r="171">
          <cell r="C171">
            <v>882.1111111111111</v>
          </cell>
          <cell r="Y171">
            <v>916</v>
          </cell>
          <cell r="Z171">
            <v>910</v>
          </cell>
        </row>
      </sheetData>
      <sheetData sheetId="2">
        <row r="171">
          <cell r="AK171">
            <v>955.6246029600508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v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9.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0.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9.140625" defaultRowHeight="12.75"/>
  <sheetData>
    <row r="1" ht="12.75">
      <c r="A1" t="s">
        <v>508</v>
      </c>
    </row>
    <row r="2" ht="12.75">
      <c r="A2" t="s">
        <v>509</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C8" sqref="C8"/>
    </sheetView>
  </sheetViews>
  <sheetFormatPr defaultColWidth="9.140625" defaultRowHeight="12.75"/>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L34"/>
  <sheetViews>
    <sheetView tabSelected="1" workbookViewId="0" topLeftCell="A1">
      <selection activeCell="F21" sqref="F21"/>
    </sheetView>
  </sheetViews>
  <sheetFormatPr defaultColWidth="9.140625" defaultRowHeight="12.75"/>
  <cols>
    <col min="3" max="3" width="14.8515625" style="0" bestFit="1" customWidth="1"/>
    <col min="4" max="4" width="14.140625" style="0" customWidth="1"/>
    <col min="5" max="5" width="9.57421875" style="0" bestFit="1" customWidth="1"/>
    <col min="6" max="6" width="11.28125" style="0" customWidth="1"/>
    <col min="7" max="8" width="11.57421875" style="0" customWidth="1"/>
    <col min="9" max="9" width="12.00390625" style="0" customWidth="1"/>
    <col min="10" max="10" width="12.7109375" style="0" customWidth="1"/>
    <col min="11" max="11" width="13.7109375" style="0" customWidth="1"/>
    <col min="12" max="12" width="15.421875" style="0" customWidth="1"/>
  </cols>
  <sheetData>
    <row r="1" ht="12.75">
      <c r="A1" t="s">
        <v>249</v>
      </c>
    </row>
    <row r="3" spans="1:12" ht="12.75">
      <c r="A3" s="67"/>
      <c r="B3" s="67"/>
      <c r="C3" s="67">
        <v>1993</v>
      </c>
      <c r="D3" s="67">
        <v>1994</v>
      </c>
      <c r="E3" s="67">
        <v>1995</v>
      </c>
      <c r="F3" s="67">
        <f>+E3+1</f>
        <v>1996</v>
      </c>
      <c r="G3" s="67">
        <v>1997</v>
      </c>
      <c r="H3" s="67">
        <v>1998</v>
      </c>
      <c r="I3" s="67">
        <f>+H3+1</f>
        <v>1999</v>
      </c>
      <c r="J3" s="67">
        <f>+I3+1</f>
        <v>2000</v>
      </c>
      <c r="K3" s="67">
        <f>+J3+1</f>
        <v>2001</v>
      </c>
      <c r="L3" s="67">
        <f>+K3+1</f>
        <v>2002</v>
      </c>
    </row>
    <row r="5" ht="12.75">
      <c r="A5" t="s">
        <v>0</v>
      </c>
    </row>
    <row r="7" spans="1:12" ht="12.75">
      <c r="A7" t="s">
        <v>61</v>
      </c>
      <c r="C7">
        <v>845</v>
      </c>
      <c r="D7">
        <v>851</v>
      </c>
      <c r="E7">
        <v>882</v>
      </c>
      <c r="F7">
        <v>878</v>
      </c>
      <c r="G7">
        <v>906</v>
      </c>
      <c r="H7">
        <v>901</v>
      </c>
      <c r="I7">
        <v>886</v>
      </c>
      <c r="J7">
        <v>901</v>
      </c>
      <c r="K7">
        <v>916</v>
      </c>
      <c r="L7">
        <v>910</v>
      </c>
    </row>
    <row r="9" spans="1:12" ht="12.75">
      <c r="A9" t="s">
        <v>236</v>
      </c>
      <c r="C9">
        <v>710</v>
      </c>
      <c r="D9">
        <v>711</v>
      </c>
      <c r="E9">
        <v>744</v>
      </c>
      <c r="F9">
        <v>746</v>
      </c>
      <c r="G9">
        <v>772</v>
      </c>
      <c r="H9">
        <v>755</v>
      </c>
      <c r="I9">
        <v>736</v>
      </c>
      <c r="J9">
        <v>745</v>
      </c>
      <c r="K9">
        <v>758</v>
      </c>
      <c r="L9">
        <v>743</v>
      </c>
    </row>
    <row r="11" spans="1:12" ht="12.75">
      <c r="A11" t="s">
        <v>237</v>
      </c>
      <c r="C11">
        <v>135</v>
      </c>
      <c r="D11">
        <v>138</v>
      </c>
      <c r="E11">
        <v>137</v>
      </c>
      <c r="F11">
        <v>128</v>
      </c>
      <c r="G11">
        <v>136</v>
      </c>
      <c r="H11">
        <v>146</v>
      </c>
      <c r="I11">
        <v>150</v>
      </c>
      <c r="J11">
        <v>155</v>
      </c>
      <c r="K11">
        <v>159</v>
      </c>
      <c r="L11">
        <v>167</v>
      </c>
    </row>
    <row r="12" spans="1:12" ht="12.75">
      <c r="A12" s="12" t="s">
        <v>238</v>
      </c>
      <c r="C12">
        <v>68</v>
      </c>
      <c r="D12">
        <v>69</v>
      </c>
      <c r="E12">
        <v>72</v>
      </c>
      <c r="F12">
        <v>65</v>
      </c>
      <c r="G12">
        <v>67</v>
      </c>
      <c r="H12">
        <v>70</v>
      </c>
      <c r="I12">
        <v>70</v>
      </c>
      <c r="J12">
        <v>68</v>
      </c>
      <c r="K12">
        <v>63</v>
      </c>
      <c r="L12">
        <v>61</v>
      </c>
    </row>
    <row r="13" spans="1:12" ht="12.75">
      <c r="A13" s="12" t="s">
        <v>239</v>
      </c>
      <c r="C13">
        <v>67</v>
      </c>
      <c r="D13">
        <v>69</v>
      </c>
      <c r="E13">
        <v>65</v>
      </c>
      <c r="F13">
        <v>63</v>
      </c>
      <c r="G13">
        <v>69</v>
      </c>
      <c r="H13">
        <v>76</v>
      </c>
      <c r="I13">
        <v>80</v>
      </c>
      <c r="J13">
        <v>87</v>
      </c>
      <c r="K13">
        <v>96</v>
      </c>
      <c r="L13">
        <v>106</v>
      </c>
    </row>
    <row r="14" ht="12.75">
      <c r="A14" s="12"/>
    </row>
    <row r="15" spans="1:12" ht="12.75">
      <c r="A15" t="s">
        <v>240</v>
      </c>
      <c r="C15" s="1">
        <f aca="true" t="shared" si="0" ref="C15:L15">C11/C7</f>
        <v>0.15976331360946747</v>
      </c>
      <c r="D15" s="1">
        <f t="shared" si="0"/>
        <v>0.16216216216216217</v>
      </c>
      <c r="E15" s="1">
        <f t="shared" si="0"/>
        <v>0.15532879818594103</v>
      </c>
      <c r="F15" s="1">
        <f t="shared" si="0"/>
        <v>0.14578587699316628</v>
      </c>
      <c r="G15" s="1">
        <f t="shared" si="0"/>
        <v>0.15011037527593818</v>
      </c>
      <c r="H15" s="1">
        <f t="shared" si="0"/>
        <v>0.16204217536071033</v>
      </c>
      <c r="I15" s="1">
        <f t="shared" si="0"/>
        <v>0.16930022573363432</v>
      </c>
      <c r="J15" s="1">
        <f t="shared" si="0"/>
        <v>0.17203107658157601</v>
      </c>
      <c r="K15" s="1">
        <f t="shared" si="0"/>
        <v>0.17358078602620086</v>
      </c>
      <c r="L15" s="1">
        <f t="shared" si="0"/>
        <v>0.1835164835164835</v>
      </c>
    </row>
    <row r="16" spans="1:12" ht="12.75">
      <c r="A16" t="s">
        <v>241</v>
      </c>
      <c r="C16" s="1">
        <f aca="true" t="shared" si="1" ref="C16:L16">C11/C9</f>
        <v>0.19014084507042253</v>
      </c>
      <c r="D16" s="1">
        <f t="shared" si="1"/>
        <v>0.1940928270042194</v>
      </c>
      <c r="E16" s="1">
        <f t="shared" si="1"/>
        <v>0.18413978494623656</v>
      </c>
      <c r="F16" s="1">
        <f t="shared" si="1"/>
        <v>0.17158176943699732</v>
      </c>
      <c r="G16" s="1">
        <f t="shared" si="1"/>
        <v>0.17616580310880828</v>
      </c>
      <c r="H16" s="1">
        <f t="shared" si="1"/>
        <v>0.19337748344370861</v>
      </c>
      <c r="I16" s="1">
        <f t="shared" si="1"/>
        <v>0.20380434782608695</v>
      </c>
      <c r="J16" s="1">
        <f t="shared" si="1"/>
        <v>0.2080536912751678</v>
      </c>
      <c r="K16" s="1">
        <f t="shared" si="1"/>
        <v>0.20976253298153033</v>
      </c>
      <c r="L16" s="1">
        <f t="shared" si="1"/>
        <v>0.22476446837146702</v>
      </c>
    </row>
    <row r="17" spans="1:12" ht="12.75">
      <c r="A17">
        <v>1993</v>
      </c>
      <c r="C17" s="1">
        <v>0.19014084507042253</v>
      </c>
      <c r="D17" s="1">
        <v>0.19014084507042253</v>
      </c>
      <c r="E17" s="1">
        <v>0.19014084507042253</v>
      </c>
      <c r="F17" s="1">
        <v>0.19014084507042253</v>
      </c>
      <c r="G17" s="1">
        <v>0.19014084507042253</v>
      </c>
      <c r="H17" s="1">
        <v>0.19014084507042253</v>
      </c>
      <c r="I17" s="1">
        <v>0.19014084507042253</v>
      </c>
      <c r="J17" s="1">
        <v>0.19014084507042253</v>
      </c>
      <c r="K17" s="1">
        <v>0.19014084507042253</v>
      </c>
      <c r="L17" s="1">
        <v>0.19014084507042253</v>
      </c>
    </row>
    <row r="18" spans="1:12" ht="12.75">
      <c r="A18" t="s">
        <v>242</v>
      </c>
      <c r="C18" s="11">
        <f>C16/C17</f>
        <v>1</v>
      </c>
      <c r="D18" s="11">
        <f aca="true" t="shared" si="2" ref="D18:L18">D16/D17</f>
        <v>1.0207844975777465</v>
      </c>
      <c r="E18" s="11">
        <f t="shared" si="2"/>
        <v>0.9684388689765034</v>
      </c>
      <c r="F18" s="11">
        <f t="shared" si="2"/>
        <v>0.9023930096316156</v>
      </c>
      <c r="G18" s="11">
        <f t="shared" si="2"/>
        <v>0.9265016311648435</v>
      </c>
      <c r="H18" s="11">
        <f t="shared" si="2"/>
        <v>1.0170223203335786</v>
      </c>
      <c r="I18" s="11">
        <f t="shared" si="2"/>
        <v>1.0718599033816425</v>
      </c>
      <c r="J18" s="11">
        <f t="shared" si="2"/>
        <v>1.0942083022619935</v>
      </c>
      <c r="K18" s="11">
        <f t="shared" si="2"/>
        <v>1.1031955438287893</v>
      </c>
      <c r="L18" s="11">
        <f t="shared" si="2"/>
        <v>1.182094611435123</v>
      </c>
    </row>
    <row r="20" ht="12.75">
      <c r="A20" t="s">
        <v>243</v>
      </c>
    </row>
    <row r="22" spans="1:12" ht="12.75">
      <c r="A22" t="s">
        <v>61</v>
      </c>
      <c r="C22" s="9">
        <v>79002</v>
      </c>
      <c r="D22" s="9">
        <v>97044</v>
      </c>
      <c r="E22" s="9">
        <v>115554</v>
      </c>
      <c r="F22" s="9">
        <v>134889</v>
      </c>
      <c r="G22" s="9">
        <v>150253</v>
      </c>
      <c r="H22" s="9">
        <v>164828</v>
      </c>
      <c r="I22" s="9">
        <v>176120</v>
      </c>
      <c r="J22" s="9">
        <v>202930</v>
      </c>
      <c r="K22" s="9">
        <v>224269</v>
      </c>
      <c r="L22" s="9">
        <v>235364</v>
      </c>
    </row>
    <row r="23" spans="3:12" ht="12.75">
      <c r="C23" s="9"/>
      <c r="D23" s="9"/>
      <c r="E23" s="9"/>
      <c r="F23" s="9"/>
      <c r="G23" s="9"/>
      <c r="H23" s="9"/>
      <c r="I23" s="9"/>
      <c r="J23" s="9"/>
      <c r="K23" s="9"/>
      <c r="L23" s="9"/>
    </row>
    <row r="24" spans="1:12" ht="12.75">
      <c r="A24" t="s">
        <v>244</v>
      </c>
      <c r="C24" s="9">
        <f aca="true" t="shared" si="3" ref="C24:L24">(C22*C7-C26*C11)/C9</f>
        <v>69390.52816901408</v>
      </c>
      <c r="D24" s="9">
        <f t="shared" si="3"/>
        <v>84883.4894514768</v>
      </c>
      <c r="E24" s="9">
        <f t="shared" si="3"/>
        <v>102063.24731182796</v>
      </c>
      <c r="F24" s="9">
        <f t="shared" si="3"/>
        <v>120644.5254691689</v>
      </c>
      <c r="G24" s="9">
        <f t="shared" si="3"/>
        <v>129374.6360103627</v>
      </c>
      <c r="H24" s="9">
        <f t="shared" si="3"/>
        <v>136455.97880794702</v>
      </c>
      <c r="I24" s="9">
        <f t="shared" si="3"/>
        <v>151973.98097826086</v>
      </c>
      <c r="J24" s="9">
        <f t="shared" si="3"/>
        <v>175978.95838926174</v>
      </c>
      <c r="K24" s="9">
        <f t="shared" si="3"/>
        <v>193187.6926121372</v>
      </c>
      <c r="L24" s="9">
        <f t="shared" si="3"/>
        <v>197429.02422611037</v>
      </c>
    </row>
    <row r="25" spans="3:12" ht="12.75">
      <c r="C25" s="9"/>
      <c r="D25" s="9"/>
      <c r="E25" s="9"/>
      <c r="F25" s="9"/>
      <c r="G25" s="9"/>
      <c r="H25" s="9"/>
      <c r="I25" s="9"/>
      <c r="J25" s="9"/>
      <c r="K25" s="9"/>
      <c r="L25" s="9"/>
    </row>
    <row r="26" spans="1:12" ht="12.75">
      <c r="A26" t="s">
        <v>237</v>
      </c>
      <c r="B26" t="s">
        <v>245</v>
      </c>
      <c r="C26" s="9">
        <f aca="true" t="shared" si="4" ref="C26:L26">(C12*C27+C13*C28)/(C12+C13)</f>
        <v>129551.22222222222</v>
      </c>
      <c r="D26" s="9">
        <f t="shared" si="4"/>
        <v>161103.5</v>
      </c>
      <c r="E26" s="9">
        <f t="shared" si="4"/>
        <v>189661.1094890511</v>
      </c>
      <c r="F26" s="9">
        <f t="shared" si="4"/>
        <v>222122.859375</v>
      </c>
      <c r="G26" s="9">
        <f t="shared" si="4"/>
        <v>266558.8161764706</v>
      </c>
      <c r="H26" s="9">
        <f t="shared" si="4"/>
        <v>311546.3287671233</v>
      </c>
      <c r="I26" s="9">
        <f t="shared" si="4"/>
        <v>294596.4666666667</v>
      </c>
      <c r="J26" s="9">
        <f t="shared" si="4"/>
        <v>333778.10322580644</v>
      </c>
      <c r="K26" s="9">
        <f t="shared" si="4"/>
        <v>371032.28301886795</v>
      </c>
      <c r="L26" s="9">
        <f t="shared" si="4"/>
        <v>404140.56886227545</v>
      </c>
    </row>
    <row r="27" spans="1:12" ht="12.75">
      <c r="A27" s="12" t="s">
        <v>246</v>
      </c>
      <c r="C27" s="9">
        <v>105595</v>
      </c>
      <c r="D27" s="9">
        <v>127259</v>
      </c>
      <c r="E27" s="9">
        <v>151601</v>
      </c>
      <c r="F27" s="9">
        <v>174360</v>
      </c>
      <c r="G27" s="9">
        <v>195812</v>
      </c>
      <c r="H27" s="9">
        <v>217716</v>
      </c>
      <c r="I27" s="9">
        <v>227277</v>
      </c>
      <c r="J27" s="9">
        <v>262254</v>
      </c>
      <c r="K27" s="9">
        <v>289131</v>
      </c>
      <c r="L27" s="9">
        <v>304757</v>
      </c>
    </row>
    <row r="28" spans="1:12" ht="12.75">
      <c r="A28" s="12" t="s">
        <v>247</v>
      </c>
      <c r="C28" s="9">
        <v>153865</v>
      </c>
      <c r="D28" s="9">
        <v>194948</v>
      </c>
      <c r="E28" s="9">
        <v>231820</v>
      </c>
      <c r="F28" s="9">
        <v>271402</v>
      </c>
      <c r="G28" s="9">
        <v>335255</v>
      </c>
      <c r="H28" s="9">
        <v>397969</v>
      </c>
      <c r="I28" s="9">
        <v>353501</v>
      </c>
      <c r="J28" s="9">
        <v>389682</v>
      </c>
      <c r="K28" s="9">
        <v>424780</v>
      </c>
      <c r="L28" s="9">
        <v>461333</v>
      </c>
    </row>
    <row r="29" ht="12.75">
      <c r="C29" s="2"/>
    </row>
    <row r="30" spans="1:12" ht="12.75">
      <c r="A30" t="s">
        <v>248</v>
      </c>
      <c r="C30" s="68">
        <f aca="true" t="shared" si="5" ref="C30:L30">C26/C24</f>
        <v>1.8669871182803957</v>
      </c>
      <c r="D30" s="68">
        <f t="shared" si="5"/>
        <v>1.8979368195283015</v>
      </c>
      <c r="E30" s="68">
        <f t="shared" si="5"/>
        <v>1.858270381203828</v>
      </c>
      <c r="F30" s="68">
        <f t="shared" si="5"/>
        <v>1.84113500808426</v>
      </c>
      <c r="G30" s="68">
        <f t="shared" si="5"/>
        <v>2.06036379615491</v>
      </c>
      <c r="H30" s="68">
        <f t="shared" si="5"/>
        <v>2.2831269944251007</v>
      </c>
      <c r="I30" s="68">
        <f t="shared" si="5"/>
        <v>1.9384664714995343</v>
      </c>
      <c r="J30" s="68">
        <f t="shared" si="5"/>
        <v>1.8966932540167463</v>
      </c>
      <c r="K30" s="68">
        <f t="shared" si="5"/>
        <v>1.920579297790927</v>
      </c>
      <c r="L30" s="68">
        <f t="shared" si="5"/>
        <v>2.047016999888647</v>
      </c>
    </row>
    <row r="31" spans="1:12" ht="12.75">
      <c r="A31">
        <v>1993</v>
      </c>
      <c r="C31" s="68">
        <v>1.8669871182803957</v>
      </c>
      <c r="D31" s="68">
        <v>1.8669871182803957</v>
      </c>
      <c r="E31" s="68">
        <v>1.8669871182803957</v>
      </c>
      <c r="F31" s="68">
        <v>1.8669871182803957</v>
      </c>
      <c r="G31" s="68">
        <v>1.8669871182803957</v>
      </c>
      <c r="H31" s="68">
        <v>1.8669871182803957</v>
      </c>
      <c r="I31" s="68">
        <v>1.8669871182803957</v>
      </c>
      <c r="J31" s="68">
        <v>1.8669871182803957</v>
      </c>
      <c r="K31" s="68">
        <v>1.8669871182803957</v>
      </c>
      <c r="L31" s="68">
        <v>1.8669871182803957</v>
      </c>
    </row>
    <row r="32" spans="1:12" ht="12.75">
      <c r="A32" t="s">
        <v>242</v>
      </c>
      <c r="C32" s="68">
        <f>C30/C31</f>
        <v>1</v>
      </c>
      <c r="D32" s="68">
        <f aca="true" t="shared" si="6" ref="D32:L32">D30/D31</f>
        <v>1.016577351254792</v>
      </c>
      <c r="E32" s="68">
        <f t="shared" si="6"/>
        <v>0.9953311209321056</v>
      </c>
      <c r="F32" s="68">
        <f t="shared" si="6"/>
        <v>0.9861530323680289</v>
      </c>
      <c r="G32" s="68">
        <f t="shared" si="6"/>
        <v>1.1035768677679072</v>
      </c>
      <c r="H32" s="68">
        <f t="shared" si="6"/>
        <v>1.2228938122122632</v>
      </c>
      <c r="I32" s="68">
        <f t="shared" si="6"/>
        <v>1.038285938086694</v>
      </c>
      <c r="J32" s="68">
        <f t="shared" si="6"/>
        <v>1.0159112697915729</v>
      </c>
      <c r="K32" s="68">
        <f t="shared" si="6"/>
        <v>1.0287051683355442</v>
      </c>
      <c r="L32" s="68">
        <f t="shared" si="6"/>
        <v>1.0964280255849166</v>
      </c>
    </row>
    <row r="33" ht="12.75">
      <c r="C33" s="2"/>
    </row>
    <row r="34" ht="12.75">
      <c r="A34" t="s">
        <v>250</v>
      </c>
    </row>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F11" sqref="F11"/>
    </sheetView>
  </sheetViews>
  <sheetFormatPr defaultColWidth="9.140625" defaultRowHeight="12.75"/>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T80"/>
  <sheetViews>
    <sheetView workbookViewId="0" topLeftCell="A1">
      <selection activeCell="A2" sqref="A2"/>
    </sheetView>
  </sheetViews>
  <sheetFormatPr defaultColWidth="9.140625" defaultRowHeight="12.75"/>
  <cols>
    <col min="1" max="15" width="9.140625" style="13" customWidth="1"/>
    <col min="17" max="17" width="9.140625" style="13" customWidth="1"/>
    <col min="18" max="18" width="24.140625" style="13" customWidth="1"/>
    <col min="19" max="19" width="19.57421875" style="13" customWidth="1"/>
    <col min="20" max="20" width="14.7109375" style="13" customWidth="1"/>
    <col min="21" max="16384" width="9.140625" style="13" customWidth="1"/>
  </cols>
  <sheetData>
    <row r="1" ht="12.75">
      <c r="A1" s="22" t="s">
        <v>511</v>
      </c>
    </row>
    <row r="2" ht="12.75">
      <c r="A2" s="22"/>
    </row>
    <row r="3" ht="12.75">
      <c r="A3" s="22" t="s">
        <v>98</v>
      </c>
    </row>
    <row r="4" ht="12.75">
      <c r="A4" s="22"/>
    </row>
    <row r="5" spans="1:19" ht="12.75">
      <c r="A5" s="22"/>
      <c r="C5" s="22" t="s">
        <v>49</v>
      </c>
      <c r="D5" s="22" t="s">
        <v>50</v>
      </c>
      <c r="E5" s="22" t="s">
        <v>54</v>
      </c>
      <c r="F5" s="22" t="s">
        <v>56</v>
      </c>
      <c r="G5" s="22" t="s">
        <v>59</v>
      </c>
      <c r="H5" s="22" t="s">
        <v>55</v>
      </c>
      <c r="I5" s="22" t="s">
        <v>58</v>
      </c>
      <c r="J5" s="22"/>
      <c r="K5" s="22" t="s">
        <v>51</v>
      </c>
      <c r="L5" s="22" t="s">
        <v>57</v>
      </c>
      <c r="M5" s="22" t="s">
        <v>52</v>
      </c>
      <c r="N5" s="22"/>
      <c r="O5" s="22" t="s">
        <v>53</v>
      </c>
      <c r="S5" s="22"/>
    </row>
    <row r="6" spans="1:19" ht="12.75">
      <c r="A6" s="22"/>
      <c r="C6" s="22"/>
      <c r="D6" s="22"/>
      <c r="E6" s="22"/>
      <c r="F6" s="22"/>
      <c r="G6" s="22"/>
      <c r="H6" s="22"/>
      <c r="I6" s="22"/>
      <c r="J6" s="22"/>
      <c r="K6" s="22"/>
      <c r="L6" s="22"/>
      <c r="M6" s="22"/>
      <c r="N6" s="22"/>
      <c r="O6" s="22"/>
      <c r="S6" s="22"/>
    </row>
    <row r="7" spans="1:19" ht="12.75">
      <c r="A7" s="22">
        <v>1990</v>
      </c>
      <c r="C7" s="22"/>
      <c r="D7" s="22"/>
      <c r="E7" s="22"/>
      <c r="F7" s="22"/>
      <c r="G7" s="22"/>
      <c r="H7" s="22"/>
      <c r="I7" s="22"/>
      <c r="J7" s="22"/>
      <c r="K7" s="22"/>
      <c r="L7" s="22"/>
      <c r="M7" s="22"/>
      <c r="N7" s="22"/>
      <c r="O7" s="22"/>
      <c r="S7" s="22"/>
    </row>
    <row r="8" ht="12.75">
      <c r="A8" s="13">
        <v>1991</v>
      </c>
    </row>
    <row r="9" spans="1:15" ht="12.75">
      <c r="A9" s="13">
        <v>1992</v>
      </c>
      <c r="O9" s="15"/>
    </row>
    <row r="10" spans="1:20" ht="12.75">
      <c r="A10" s="13">
        <f aca="true" t="shared" si="0" ref="A10:A19">A9+1</f>
        <v>1993</v>
      </c>
      <c r="C10" s="19">
        <v>0.15976331360946747</v>
      </c>
      <c r="D10" s="19">
        <f aca="true" t="shared" si="1" ref="D10:D19">1-C10</f>
        <v>0.8402366863905325</v>
      </c>
      <c r="E10" s="15">
        <v>1.8669871182803957</v>
      </c>
      <c r="F10" s="15">
        <v>0.5</v>
      </c>
      <c r="G10" s="15">
        <v>0.34</v>
      </c>
      <c r="H10" s="15">
        <f>E10*(1-F10)/F10*(C10/D10)^(1-G10)</f>
        <v>0.6242105412903128</v>
      </c>
      <c r="I10" s="15">
        <v>0.0168</v>
      </c>
      <c r="J10" s="19"/>
      <c r="K10" s="19">
        <f>(F10*H10*(1+I10)^(A10-1993)*C10^(G10)+(1-F10)*D10^(G10))^(1/G10)</f>
        <v>0.26734194452824545</v>
      </c>
      <c r="L10" s="19">
        <f>K10</f>
        <v>0.26734194452824545</v>
      </c>
      <c r="M10" s="19">
        <f>K10/L10</f>
        <v>1</v>
      </c>
      <c r="N10" s="19"/>
      <c r="O10" s="15"/>
      <c r="Q10" s="19"/>
      <c r="R10" s="15"/>
      <c r="S10" s="15"/>
      <c r="T10" s="15"/>
    </row>
    <row r="11" spans="1:20" ht="12.75">
      <c r="A11" s="13">
        <f t="shared" si="0"/>
        <v>1994</v>
      </c>
      <c r="C11" s="19">
        <v>0.16216216216216217</v>
      </c>
      <c r="D11" s="19">
        <f t="shared" si="1"/>
        <v>0.8378378378378378</v>
      </c>
      <c r="E11" s="15">
        <v>1.8979368195283015</v>
      </c>
      <c r="F11" s="15">
        <f>F10</f>
        <v>0.5</v>
      </c>
      <c r="G11" s="15">
        <f>G10</f>
        <v>0.34</v>
      </c>
      <c r="H11" s="15">
        <f>H10</f>
        <v>0.6242105412903128</v>
      </c>
      <c r="I11" s="15">
        <f>I10</f>
        <v>0.0168</v>
      </c>
      <c r="J11" s="19"/>
      <c r="K11" s="19">
        <f aca="true" t="shared" si="2" ref="K11:K19">(F11*H11*(1+I11)^(A11-1993)*C11^(G11)+(1-F11)*D11^(G11))^(1/G11)</f>
        <v>0.27132240060587864</v>
      </c>
      <c r="L11" s="19">
        <f>L10</f>
        <v>0.26734194452824545</v>
      </c>
      <c r="M11" s="19">
        <f aca="true" t="shared" si="3" ref="M11:M19">K11/L11</f>
        <v>1.0148890069781498</v>
      </c>
      <c r="N11" s="19"/>
      <c r="O11" s="15">
        <f>F11/(1-F11)*H11*(1+I11)^(A11-1993)*(C10/D10)^(G11-1)</f>
        <v>1.898352501867506</v>
      </c>
      <c r="Q11" s="19"/>
      <c r="R11" s="15"/>
      <c r="S11" s="15"/>
      <c r="T11" s="15"/>
    </row>
    <row r="12" spans="1:20" ht="12.75">
      <c r="A12" s="13">
        <f t="shared" si="0"/>
        <v>1995</v>
      </c>
      <c r="C12" s="19">
        <v>0.15532879818594103</v>
      </c>
      <c r="D12" s="19">
        <f t="shared" si="1"/>
        <v>0.844671201814059</v>
      </c>
      <c r="E12" s="15">
        <v>1.858270381203828</v>
      </c>
      <c r="F12" s="15">
        <f aca="true" t="shared" si="4" ref="F12:F19">F11</f>
        <v>0.5</v>
      </c>
      <c r="G12" s="15">
        <f aca="true" t="shared" si="5" ref="G12:G19">G11</f>
        <v>0.34</v>
      </c>
      <c r="H12" s="15">
        <f aca="true" t="shared" si="6" ref="H12:H19">H11</f>
        <v>0.6242105412903128</v>
      </c>
      <c r="I12" s="15">
        <f aca="true" t="shared" si="7" ref="I12:I19">I11</f>
        <v>0.0168</v>
      </c>
      <c r="J12" s="19"/>
      <c r="K12" s="19">
        <f t="shared" si="2"/>
        <v>0.27337694351134056</v>
      </c>
      <c r="L12" s="19">
        <f aca="true" t="shared" si="8" ref="L12:L19">L11</f>
        <v>0.26734194452824545</v>
      </c>
      <c r="M12" s="19">
        <f t="shared" si="3"/>
        <v>1.0225740820197315</v>
      </c>
      <c r="N12" s="19"/>
      <c r="O12" s="15">
        <f aca="true" t="shared" si="9" ref="O12:O19">F12/(1-F12)*H12*(1+I12)^(A12-1993)*(C11/D11)^(G12-1)</f>
        <v>1.9077482606306535</v>
      </c>
      <c r="Q12" s="19"/>
      <c r="R12" s="15"/>
      <c r="S12" s="15"/>
      <c r="T12" s="15"/>
    </row>
    <row r="13" spans="1:20" ht="12.75">
      <c r="A13" s="13">
        <f t="shared" si="0"/>
        <v>1996</v>
      </c>
      <c r="C13" s="19">
        <v>0.14578587699316628</v>
      </c>
      <c r="D13" s="19">
        <f t="shared" si="1"/>
        <v>0.8542141230068337</v>
      </c>
      <c r="E13" s="15">
        <v>1.84113500808426</v>
      </c>
      <c r="F13" s="15">
        <f t="shared" si="4"/>
        <v>0.5</v>
      </c>
      <c r="G13" s="15">
        <f t="shared" si="5"/>
        <v>0.34</v>
      </c>
      <c r="H13" s="15">
        <f t="shared" si="6"/>
        <v>0.6242105412903128</v>
      </c>
      <c r="I13" s="15">
        <f t="shared" si="7"/>
        <v>0.0168</v>
      </c>
      <c r="J13" s="19"/>
      <c r="K13" s="19">
        <f t="shared" si="2"/>
        <v>0.2745906611954335</v>
      </c>
      <c r="L13" s="19">
        <f t="shared" si="8"/>
        <v>0.26734194452824545</v>
      </c>
      <c r="M13" s="19">
        <f t="shared" si="3"/>
        <v>1.027114026869144</v>
      </c>
      <c r="N13" s="19"/>
      <c r="O13" s="15">
        <f t="shared" si="9"/>
        <v>2.0064358400403397</v>
      </c>
      <c r="Q13" s="19"/>
      <c r="R13" s="15"/>
      <c r="S13" s="15"/>
      <c r="T13" s="15"/>
    </row>
    <row r="14" spans="1:20" ht="12.75">
      <c r="A14" s="13">
        <f t="shared" si="0"/>
        <v>1997</v>
      </c>
      <c r="C14" s="19">
        <v>0.15011037527593818</v>
      </c>
      <c r="D14" s="19">
        <f t="shared" si="1"/>
        <v>0.8498896247240618</v>
      </c>
      <c r="E14" s="15">
        <v>2.06036379615491</v>
      </c>
      <c r="F14" s="15">
        <f t="shared" si="4"/>
        <v>0.5</v>
      </c>
      <c r="G14" s="15">
        <f t="shared" si="5"/>
        <v>0.34</v>
      </c>
      <c r="H14" s="15">
        <f t="shared" si="6"/>
        <v>0.6242105412903128</v>
      </c>
      <c r="I14" s="15">
        <f t="shared" si="7"/>
        <v>0.0168</v>
      </c>
      <c r="J14" s="19"/>
      <c r="K14" s="19">
        <f t="shared" si="2"/>
        <v>0.2793530685319945</v>
      </c>
      <c r="L14" s="19">
        <f t="shared" si="8"/>
        <v>0.26734194452824545</v>
      </c>
      <c r="M14" s="19">
        <f t="shared" si="3"/>
        <v>1.0449279443408852</v>
      </c>
      <c r="N14" s="19"/>
      <c r="O14" s="15">
        <f t="shared" si="9"/>
        <v>2.143162504700938</v>
      </c>
      <c r="Q14" s="19"/>
      <c r="R14" s="15"/>
      <c r="S14" s="15"/>
      <c r="T14" s="15"/>
    </row>
    <row r="15" spans="1:20" ht="12.75">
      <c r="A15" s="13">
        <f t="shared" si="0"/>
        <v>1998</v>
      </c>
      <c r="C15" s="19">
        <v>0.1620421753607103</v>
      </c>
      <c r="D15" s="19">
        <f t="shared" si="1"/>
        <v>0.8379578246392897</v>
      </c>
      <c r="E15" s="15">
        <v>2.2831269944251007</v>
      </c>
      <c r="F15" s="15">
        <f t="shared" si="4"/>
        <v>0.5</v>
      </c>
      <c r="G15" s="15">
        <f t="shared" si="5"/>
        <v>0.34</v>
      </c>
      <c r="H15" s="15">
        <f t="shared" si="6"/>
        <v>0.6242105412903128</v>
      </c>
      <c r="I15" s="15">
        <f t="shared" si="7"/>
        <v>0.0168</v>
      </c>
      <c r="J15" s="19"/>
      <c r="K15" s="19">
        <f t="shared" si="2"/>
        <v>0.2862052825822729</v>
      </c>
      <c r="L15" s="19">
        <f t="shared" si="8"/>
        <v>0.26734194452824545</v>
      </c>
      <c r="M15" s="19">
        <f t="shared" si="3"/>
        <v>1.0705588421125383</v>
      </c>
      <c r="N15" s="19"/>
      <c r="O15" s="15">
        <f t="shared" si="9"/>
        <v>2.130379553699874</v>
      </c>
      <c r="Q15" s="19"/>
      <c r="R15" s="15"/>
      <c r="S15" s="15"/>
      <c r="T15" s="15"/>
    </row>
    <row r="16" spans="1:20" ht="12.75">
      <c r="A16" s="13">
        <f t="shared" si="0"/>
        <v>1999</v>
      </c>
      <c r="C16" s="19">
        <v>0.16930022573363435</v>
      </c>
      <c r="D16" s="19">
        <f t="shared" si="1"/>
        <v>0.8306997742663657</v>
      </c>
      <c r="E16" s="15">
        <v>1.9384664714995343</v>
      </c>
      <c r="F16" s="15">
        <f t="shared" si="4"/>
        <v>0.5</v>
      </c>
      <c r="G16" s="15">
        <f t="shared" si="5"/>
        <v>0.34</v>
      </c>
      <c r="H16" s="15">
        <f t="shared" si="6"/>
        <v>0.6242105412903128</v>
      </c>
      <c r="I16" s="15">
        <f t="shared" si="7"/>
        <v>0.0168</v>
      </c>
      <c r="J16" s="19"/>
      <c r="K16" s="19">
        <f t="shared" si="2"/>
        <v>0.29199753478875107</v>
      </c>
      <c r="L16" s="19">
        <f t="shared" si="8"/>
        <v>0.26734194452824545</v>
      </c>
      <c r="M16" s="19">
        <f t="shared" si="3"/>
        <v>1.0922249230438312</v>
      </c>
      <c r="N16" s="19"/>
      <c r="O16" s="15">
        <f t="shared" si="9"/>
        <v>2.0404052251885796</v>
      </c>
      <c r="Q16" s="19"/>
      <c r="R16" s="15"/>
      <c r="S16" s="15"/>
      <c r="T16" s="15"/>
    </row>
    <row r="17" spans="1:20" ht="12.75">
      <c r="A17" s="13">
        <f t="shared" si="0"/>
        <v>2000</v>
      </c>
      <c r="C17" s="19">
        <v>0.17222222222222222</v>
      </c>
      <c r="D17" s="19">
        <f t="shared" si="1"/>
        <v>0.8277777777777777</v>
      </c>
      <c r="E17" s="15">
        <v>1.8966932540167463</v>
      </c>
      <c r="F17" s="15">
        <f t="shared" si="4"/>
        <v>0.5</v>
      </c>
      <c r="G17" s="15">
        <f t="shared" si="5"/>
        <v>0.34</v>
      </c>
      <c r="H17" s="15">
        <f t="shared" si="6"/>
        <v>0.6242105412903128</v>
      </c>
      <c r="I17" s="15">
        <f t="shared" si="7"/>
        <v>0.0168</v>
      </c>
      <c r="J17" s="19"/>
      <c r="K17" s="19">
        <f t="shared" si="2"/>
        <v>0.29688550386835694</v>
      </c>
      <c r="L17" s="19">
        <f t="shared" si="8"/>
        <v>0.26734194452824545</v>
      </c>
      <c r="M17" s="19">
        <f t="shared" si="3"/>
        <v>1.1105085077175016</v>
      </c>
      <c r="N17" s="19"/>
      <c r="O17" s="15">
        <f t="shared" si="9"/>
        <v>2.0040058630699735</v>
      </c>
      <c r="Q17" s="19"/>
      <c r="R17" s="15"/>
      <c r="S17" s="15"/>
      <c r="T17" s="15"/>
    </row>
    <row r="18" spans="1:20" ht="12.75">
      <c r="A18" s="13">
        <f t="shared" si="0"/>
        <v>2001</v>
      </c>
      <c r="C18" s="19">
        <v>0.1726775956284153</v>
      </c>
      <c r="D18" s="19">
        <f t="shared" si="1"/>
        <v>0.8273224043715847</v>
      </c>
      <c r="E18" s="15">
        <v>1.920579297790927</v>
      </c>
      <c r="F18" s="15">
        <f t="shared" si="4"/>
        <v>0.5</v>
      </c>
      <c r="G18" s="15">
        <f t="shared" si="5"/>
        <v>0.34</v>
      </c>
      <c r="H18" s="15">
        <f t="shared" si="6"/>
        <v>0.6242105412903128</v>
      </c>
      <c r="I18" s="15">
        <f t="shared" si="7"/>
        <v>0.0168</v>
      </c>
      <c r="J18" s="19"/>
      <c r="K18" s="19">
        <f t="shared" si="2"/>
        <v>0.3012988761544915</v>
      </c>
      <c r="L18" s="19">
        <f t="shared" si="8"/>
        <v>0.26734194452824545</v>
      </c>
      <c r="M18" s="19">
        <f t="shared" si="3"/>
        <v>1.1270168498481106</v>
      </c>
      <c r="N18" s="19"/>
      <c r="O18" s="15">
        <f t="shared" si="9"/>
        <v>2.010109046322898</v>
      </c>
      <c r="Q18" s="19"/>
      <c r="R18" s="15"/>
      <c r="S18" s="15"/>
      <c r="T18" s="15"/>
    </row>
    <row r="19" spans="1:20" ht="12.75">
      <c r="A19" s="13">
        <f t="shared" si="0"/>
        <v>2002</v>
      </c>
      <c r="C19" s="19">
        <v>0.184</v>
      </c>
      <c r="D19" s="19">
        <f t="shared" si="1"/>
        <v>0.8160000000000001</v>
      </c>
      <c r="E19" s="15">
        <v>2.047016999888647</v>
      </c>
      <c r="F19" s="15">
        <f t="shared" si="4"/>
        <v>0.5</v>
      </c>
      <c r="G19" s="15">
        <f t="shared" si="5"/>
        <v>0.34</v>
      </c>
      <c r="H19" s="15">
        <f t="shared" si="6"/>
        <v>0.6242105412903128</v>
      </c>
      <c r="I19" s="15">
        <f t="shared" si="7"/>
        <v>0.0168</v>
      </c>
      <c r="J19" s="19"/>
      <c r="K19" s="19">
        <f t="shared" si="2"/>
        <v>0.30863515472300673</v>
      </c>
      <c r="L19" s="19">
        <f t="shared" si="8"/>
        <v>0.26734194452824545</v>
      </c>
      <c r="M19" s="19">
        <f t="shared" si="3"/>
        <v>1.1544584044513768</v>
      </c>
      <c r="N19" s="19"/>
      <c r="O19" s="15">
        <f t="shared" si="9"/>
        <v>2.0395790364925563</v>
      </c>
      <c r="Q19" s="19"/>
      <c r="R19" s="15"/>
      <c r="S19" s="15"/>
      <c r="T19" s="15"/>
    </row>
    <row r="20" spans="3:20" ht="12.75">
      <c r="C20" s="19"/>
      <c r="D20" s="19"/>
      <c r="E20" s="19"/>
      <c r="F20" s="19"/>
      <c r="G20" s="19"/>
      <c r="H20" s="19"/>
      <c r="I20" s="19"/>
      <c r="J20" s="19"/>
      <c r="M20" s="19"/>
      <c r="N20" s="19"/>
      <c r="O20" s="15"/>
      <c r="Q20" s="19"/>
      <c r="R20" s="15"/>
      <c r="S20" s="15"/>
      <c r="T20" s="15"/>
    </row>
    <row r="21" spans="3:20" ht="12.75">
      <c r="C21" s="19"/>
      <c r="D21" s="19"/>
      <c r="E21" s="19"/>
      <c r="F21" s="19"/>
      <c r="G21" s="19"/>
      <c r="H21" s="19"/>
      <c r="I21" s="19"/>
      <c r="J21" s="19"/>
      <c r="K21" s="22" t="s">
        <v>60</v>
      </c>
      <c r="M21" s="19">
        <f>EXP(1/9*LN(M19/M10))-1</f>
        <v>0.016087061123357227</v>
      </c>
      <c r="N21" s="19"/>
      <c r="O21" s="15"/>
      <c r="Q21" s="19"/>
      <c r="R21" s="15"/>
      <c r="S21" s="15"/>
      <c r="T21" s="15"/>
    </row>
    <row r="22" spans="3:20" ht="12.75">
      <c r="C22" s="19"/>
      <c r="D22" s="19"/>
      <c r="E22" s="19"/>
      <c r="F22" s="19"/>
      <c r="G22" s="19"/>
      <c r="H22" s="19"/>
      <c r="I22" s="19"/>
      <c r="J22" s="19"/>
      <c r="M22" s="19"/>
      <c r="N22" s="19"/>
      <c r="O22" s="15"/>
      <c r="Q22" s="19"/>
      <c r="R22" s="15"/>
      <c r="S22" s="15"/>
      <c r="T22" s="15"/>
    </row>
    <row r="23" spans="1:20" ht="12.75">
      <c r="A23" s="22" t="s">
        <v>171</v>
      </c>
      <c r="Q23" s="19"/>
      <c r="R23" s="15"/>
      <c r="S23" s="15"/>
      <c r="T23" s="15"/>
    </row>
    <row r="24" spans="1:20" ht="12.75">
      <c r="A24" s="22"/>
      <c r="Q24" s="19"/>
      <c r="R24" s="15"/>
      <c r="S24" s="15"/>
      <c r="T24" s="15"/>
    </row>
    <row r="25" spans="1:20" ht="12.75">
      <c r="A25" s="22"/>
      <c r="C25" s="22" t="s">
        <v>49</v>
      </c>
      <c r="D25" s="22" t="s">
        <v>50</v>
      </c>
      <c r="E25" s="22" t="s">
        <v>54</v>
      </c>
      <c r="F25" s="22" t="s">
        <v>56</v>
      </c>
      <c r="G25" s="22" t="s">
        <v>59</v>
      </c>
      <c r="H25" s="22" t="s">
        <v>55</v>
      </c>
      <c r="I25" s="22" t="s">
        <v>58</v>
      </c>
      <c r="J25" s="22"/>
      <c r="K25" s="22" t="s">
        <v>51</v>
      </c>
      <c r="L25" s="22" t="s">
        <v>57</v>
      </c>
      <c r="M25" s="22" t="s">
        <v>52</v>
      </c>
      <c r="N25" s="22"/>
      <c r="O25" s="22" t="s">
        <v>53</v>
      </c>
      <c r="Q25" s="19"/>
      <c r="R25" s="15"/>
      <c r="S25" s="15"/>
      <c r="T25" s="15"/>
    </row>
    <row r="26" spans="1:20" ht="12.75">
      <c r="A26" s="22"/>
      <c r="C26" s="22"/>
      <c r="D26" s="22"/>
      <c r="E26" s="22"/>
      <c r="F26" s="22"/>
      <c r="G26" s="22"/>
      <c r="H26" s="22"/>
      <c r="I26" s="22"/>
      <c r="J26" s="22"/>
      <c r="K26" s="22"/>
      <c r="L26" s="22"/>
      <c r="M26" s="22"/>
      <c r="N26" s="22"/>
      <c r="O26" s="22"/>
      <c r="Q26" s="19"/>
      <c r="R26" s="15"/>
      <c r="S26" s="15"/>
      <c r="T26" s="15"/>
    </row>
    <row r="27" spans="1:20" ht="12.75">
      <c r="A27" s="22">
        <v>1990</v>
      </c>
      <c r="C27" s="22"/>
      <c r="D27" s="22"/>
      <c r="E27" s="22"/>
      <c r="F27" s="22"/>
      <c r="G27" s="22"/>
      <c r="H27" s="22"/>
      <c r="I27" s="22"/>
      <c r="J27" s="22"/>
      <c r="K27" s="22"/>
      <c r="L27" s="22"/>
      <c r="M27" s="22"/>
      <c r="N27" s="22"/>
      <c r="O27" s="22"/>
      <c r="Q27" s="19"/>
      <c r="R27" s="15"/>
      <c r="S27" s="15"/>
      <c r="T27" s="15"/>
    </row>
    <row r="28" spans="1:20" ht="12.75">
      <c r="A28" s="13">
        <v>1991</v>
      </c>
      <c r="Q28" s="19"/>
      <c r="R28" s="15"/>
      <c r="S28" s="15"/>
      <c r="T28" s="15"/>
    </row>
    <row r="29" spans="1:20" ht="12.75">
      <c r="A29" s="13">
        <v>1992</v>
      </c>
      <c r="O29" s="15"/>
      <c r="Q29" s="19"/>
      <c r="R29" s="15"/>
      <c r="S29" s="15"/>
      <c r="T29" s="15"/>
    </row>
    <row r="30" spans="1:20" ht="12.75">
      <c r="A30" s="13">
        <f aca="true" t="shared" si="10" ref="A30:A39">A29+1</f>
        <v>1993</v>
      </c>
      <c r="C30" s="19">
        <v>0.15976331360946747</v>
      </c>
      <c r="D30" s="19">
        <f aca="true" t="shared" si="11" ref="D30:D39">1-C30</f>
        <v>0.8402366863905325</v>
      </c>
      <c r="E30" s="15">
        <v>1.8669871182803957</v>
      </c>
      <c r="F30" s="15">
        <v>0.5</v>
      </c>
      <c r="G30" s="15">
        <v>0.852</v>
      </c>
      <c r="H30" s="15">
        <f>E30*(1-F30)/F30*(C30/D30)^(1-G30)</f>
        <v>1.4603080644209827</v>
      </c>
      <c r="I30" s="15">
        <v>0.011</v>
      </c>
      <c r="J30" s="19"/>
      <c r="K30" s="19">
        <f>(F30*H30*(1+I30)^(A30-1993)*C30^(G30)+(1-F30)*D30^(G30))^(1/G30)</f>
        <v>0.5320283875879142</v>
      </c>
      <c r="L30" s="19">
        <f>K30</f>
        <v>0.5320283875879142</v>
      </c>
      <c r="M30" s="19">
        <f>K30/L30</f>
        <v>1</v>
      </c>
      <c r="N30" s="19"/>
      <c r="O30" s="15"/>
      <c r="Q30" s="19"/>
      <c r="R30" s="15"/>
      <c r="S30" s="15"/>
      <c r="T30" s="15"/>
    </row>
    <row r="31" spans="1:20" ht="12.75">
      <c r="A31" s="13">
        <f t="shared" si="10"/>
        <v>1994</v>
      </c>
      <c r="C31" s="19">
        <v>0.16216216216216217</v>
      </c>
      <c r="D31" s="19">
        <f t="shared" si="11"/>
        <v>0.8378378378378378</v>
      </c>
      <c r="E31" s="15">
        <v>1.8979368195283015</v>
      </c>
      <c r="F31" s="15">
        <f>F30</f>
        <v>0.5</v>
      </c>
      <c r="G31" s="15">
        <f>G30</f>
        <v>0.852</v>
      </c>
      <c r="H31" s="15">
        <f>H30</f>
        <v>1.4603080644209827</v>
      </c>
      <c r="I31" s="15">
        <f>I30</f>
        <v>0.011</v>
      </c>
      <c r="J31" s="19"/>
      <c r="K31" s="19">
        <f aca="true" t="shared" si="12" ref="K31:K39">(F31*H31*(1+I31)^(A31-1993)*C31^(G31)+(1-F31)*D31^(G31))^(1/G31)</f>
        <v>0.5348213651876631</v>
      </c>
      <c r="L31" s="19">
        <f>L30</f>
        <v>0.5320283875879142</v>
      </c>
      <c r="M31" s="19">
        <f aca="true" t="shared" si="13" ref="M31:M39">K31/L31</f>
        <v>1.0052496777707889</v>
      </c>
      <c r="N31" s="19"/>
      <c r="O31" s="15">
        <f>F31/(1-F31)*H31*(1+I31)^(A31-1993)*(C30/D30)^(G31-1)</f>
        <v>1.8875239765814797</v>
      </c>
      <c r="Q31" s="19"/>
      <c r="R31" s="15"/>
      <c r="S31" s="15"/>
      <c r="T31" s="15"/>
    </row>
    <row r="32" spans="1:15" ht="12.75">
      <c r="A32" s="13">
        <f t="shared" si="10"/>
        <v>1995</v>
      </c>
      <c r="C32" s="19">
        <v>0.15532879818594103</v>
      </c>
      <c r="D32" s="19">
        <f t="shared" si="11"/>
        <v>0.844671201814059</v>
      </c>
      <c r="E32" s="15">
        <v>1.858270381203828</v>
      </c>
      <c r="F32" s="15">
        <f aca="true" t="shared" si="14" ref="F32:F39">F31</f>
        <v>0.5</v>
      </c>
      <c r="G32" s="15">
        <f aca="true" t="shared" si="15" ref="G32:G39">G31</f>
        <v>0.852</v>
      </c>
      <c r="H32" s="15">
        <f aca="true" t="shared" si="16" ref="H32:H39">H31</f>
        <v>1.4603080644209827</v>
      </c>
      <c r="I32" s="15">
        <f aca="true" t="shared" si="17" ref="I32:I39">I31</f>
        <v>0.011</v>
      </c>
      <c r="J32" s="19"/>
      <c r="K32" s="19">
        <f t="shared" si="12"/>
        <v>0.533756515746196</v>
      </c>
      <c r="L32" s="19">
        <f aca="true" t="shared" si="18" ref="L32:L39">L31</f>
        <v>0.5320283875879142</v>
      </c>
      <c r="M32" s="19">
        <f t="shared" si="13"/>
        <v>1.0032481878760582</v>
      </c>
      <c r="N32" s="19"/>
      <c r="O32" s="15">
        <f aca="true" t="shared" si="19" ref="O32:O39">F32/(1-F32)*H32*(1+I32)^(A32-1993)*(C31/D31)^(G32-1)</f>
        <v>1.903276741194544</v>
      </c>
    </row>
    <row r="33" spans="1:15" ht="12.75">
      <c r="A33" s="13">
        <f t="shared" si="10"/>
        <v>1996</v>
      </c>
      <c r="C33" s="19">
        <v>0.14578587699316628</v>
      </c>
      <c r="D33" s="19">
        <f t="shared" si="11"/>
        <v>0.8542141230068337</v>
      </c>
      <c r="E33" s="15">
        <v>1.84113500808426</v>
      </c>
      <c r="F33" s="15">
        <f t="shared" si="14"/>
        <v>0.5</v>
      </c>
      <c r="G33" s="15">
        <f t="shared" si="15"/>
        <v>0.852</v>
      </c>
      <c r="H33" s="15">
        <f t="shared" si="16"/>
        <v>1.4603080644209827</v>
      </c>
      <c r="I33" s="15">
        <f t="shared" si="17"/>
        <v>0.011</v>
      </c>
      <c r="J33" s="19"/>
      <c r="K33" s="19">
        <f t="shared" si="12"/>
        <v>0.5313245858274557</v>
      </c>
      <c r="L33" s="19">
        <f t="shared" si="18"/>
        <v>0.5320283875879142</v>
      </c>
      <c r="M33" s="19">
        <f t="shared" si="13"/>
        <v>0.9986771349482885</v>
      </c>
      <c r="N33" s="19"/>
      <c r="O33" s="15">
        <f t="shared" si="19"/>
        <v>1.9388420703105889</v>
      </c>
    </row>
    <row r="34" spans="1:15" ht="12.75">
      <c r="A34" s="13">
        <f t="shared" si="10"/>
        <v>1997</v>
      </c>
      <c r="C34" s="19">
        <v>0.15011037527593818</v>
      </c>
      <c r="D34" s="19">
        <f t="shared" si="11"/>
        <v>0.8498896247240618</v>
      </c>
      <c r="E34" s="15">
        <v>2.06036379615491</v>
      </c>
      <c r="F34" s="15">
        <f t="shared" si="14"/>
        <v>0.5</v>
      </c>
      <c r="G34" s="15">
        <f t="shared" si="15"/>
        <v>0.852</v>
      </c>
      <c r="H34" s="15">
        <f t="shared" si="16"/>
        <v>1.4603080644209827</v>
      </c>
      <c r="I34" s="15">
        <f t="shared" si="17"/>
        <v>0.011</v>
      </c>
      <c r="J34" s="19"/>
      <c r="K34" s="19">
        <f t="shared" si="12"/>
        <v>0.5350159050571437</v>
      </c>
      <c r="L34" s="19">
        <f t="shared" si="18"/>
        <v>0.5320283875879142</v>
      </c>
      <c r="M34" s="19">
        <f t="shared" si="13"/>
        <v>1.0056153347056802</v>
      </c>
      <c r="N34" s="19"/>
      <c r="O34" s="15">
        <f t="shared" si="19"/>
        <v>1.9819427135800158</v>
      </c>
    </row>
    <row r="35" spans="1:15" ht="12.75">
      <c r="A35" s="13">
        <f t="shared" si="10"/>
        <v>1998</v>
      </c>
      <c r="C35" s="19">
        <v>0.1620421753607103</v>
      </c>
      <c r="D35" s="19">
        <f t="shared" si="11"/>
        <v>0.8379578246392897</v>
      </c>
      <c r="E35" s="15">
        <v>2.2831269944251007</v>
      </c>
      <c r="F35" s="15">
        <f t="shared" si="14"/>
        <v>0.5</v>
      </c>
      <c r="G35" s="15">
        <f t="shared" si="15"/>
        <v>0.852</v>
      </c>
      <c r="H35" s="15">
        <f t="shared" si="16"/>
        <v>1.4603080644209827</v>
      </c>
      <c r="I35" s="15">
        <f t="shared" si="17"/>
        <v>0.011</v>
      </c>
      <c r="J35" s="19"/>
      <c r="K35" s="19">
        <f t="shared" si="12"/>
        <v>0.5422734961752594</v>
      </c>
      <c r="L35" s="19">
        <f t="shared" si="18"/>
        <v>0.5320283875879142</v>
      </c>
      <c r="M35" s="19">
        <f t="shared" si="13"/>
        <v>1.0192566953688207</v>
      </c>
      <c r="N35" s="19"/>
      <c r="O35" s="15">
        <f t="shared" si="19"/>
        <v>1.9935958935461011</v>
      </c>
    </row>
    <row r="36" spans="1:15" ht="12.75">
      <c r="A36" s="13">
        <f t="shared" si="10"/>
        <v>1999</v>
      </c>
      <c r="C36" s="19">
        <v>0.16930022573363435</v>
      </c>
      <c r="D36" s="19">
        <f t="shared" si="11"/>
        <v>0.8306997742663657</v>
      </c>
      <c r="E36" s="15">
        <v>1.9384664714995343</v>
      </c>
      <c r="F36" s="15">
        <f t="shared" si="14"/>
        <v>0.5</v>
      </c>
      <c r="G36" s="15">
        <f t="shared" si="15"/>
        <v>0.852</v>
      </c>
      <c r="H36" s="15">
        <f t="shared" si="16"/>
        <v>1.4603080644209827</v>
      </c>
      <c r="I36" s="15">
        <f t="shared" si="17"/>
        <v>0.011</v>
      </c>
      <c r="J36" s="19"/>
      <c r="K36" s="19">
        <f t="shared" si="12"/>
        <v>0.5475464036582919</v>
      </c>
      <c r="L36" s="19">
        <f t="shared" si="18"/>
        <v>0.5320283875879142</v>
      </c>
      <c r="M36" s="19">
        <f t="shared" si="13"/>
        <v>1.0291676467504536</v>
      </c>
      <c r="N36" s="19"/>
      <c r="O36" s="15">
        <f t="shared" si="19"/>
        <v>1.9886728438167551</v>
      </c>
    </row>
    <row r="37" spans="1:15" ht="12.75">
      <c r="A37" s="13">
        <f t="shared" si="10"/>
        <v>2000</v>
      </c>
      <c r="C37" s="19">
        <v>0.17222222222222222</v>
      </c>
      <c r="D37" s="19">
        <f t="shared" si="11"/>
        <v>0.8277777777777777</v>
      </c>
      <c r="E37" s="15">
        <v>1.8966932540167463</v>
      </c>
      <c r="F37" s="15">
        <f t="shared" si="14"/>
        <v>0.5</v>
      </c>
      <c r="G37" s="15">
        <f t="shared" si="15"/>
        <v>0.852</v>
      </c>
      <c r="H37" s="15">
        <f t="shared" si="16"/>
        <v>1.4603080644209827</v>
      </c>
      <c r="I37" s="15">
        <f t="shared" si="17"/>
        <v>0.011</v>
      </c>
      <c r="J37" s="19"/>
      <c r="K37" s="19">
        <f t="shared" si="12"/>
        <v>0.5509383963884046</v>
      </c>
      <c r="L37" s="19">
        <f t="shared" si="18"/>
        <v>0.5320283875879142</v>
      </c>
      <c r="M37" s="19">
        <f t="shared" si="13"/>
        <v>1.035543232732794</v>
      </c>
      <c r="N37" s="19"/>
      <c r="O37" s="15">
        <f t="shared" si="19"/>
        <v>1.9949820061037338</v>
      </c>
    </row>
    <row r="38" spans="1:15" ht="12.75">
      <c r="A38" s="13">
        <f t="shared" si="10"/>
        <v>2001</v>
      </c>
      <c r="C38" s="19">
        <v>0.1726775956284153</v>
      </c>
      <c r="D38" s="19">
        <f t="shared" si="11"/>
        <v>0.8273224043715847</v>
      </c>
      <c r="E38" s="15">
        <v>1.920579297790927</v>
      </c>
      <c r="F38" s="15">
        <f t="shared" si="14"/>
        <v>0.5</v>
      </c>
      <c r="G38" s="15">
        <f t="shared" si="15"/>
        <v>0.852</v>
      </c>
      <c r="H38" s="15">
        <f t="shared" si="16"/>
        <v>1.4603080644209827</v>
      </c>
      <c r="I38" s="15">
        <f t="shared" si="17"/>
        <v>0.011</v>
      </c>
      <c r="J38" s="19"/>
      <c r="K38" s="19">
        <f t="shared" si="12"/>
        <v>0.5532375810704288</v>
      </c>
      <c r="L38" s="19">
        <f t="shared" si="18"/>
        <v>0.5320283875879142</v>
      </c>
      <c r="M38" s="19">
        <f t="shared" si="13"/>
        <v>1.0398647778526855</v>
      </c>
      <c r="N38" s="19"/>
      <c r="O38" s="15">
        <f t="shared" si="19"/>
        <v>2.0107763349874572</v>
      </c>
    </row>
    <row r="39" spans="1:15" ht="12.75">
      <c r="A39" s="13">
        <f t="shared" si="10"/>
        <v>2002</v>
      </c>
      <c r="C39" s="19">
        <v>0.184</v>
      </c>
      <c r="D39" s="19">
        <f t="shared" si="11"/>
        <v>0.8160000000000001</v>
      </c>
      <c r="E39" s="15">
        <v>2.047016999888647</v>
      </c>
      <c r="F39" s="15">
        <f t="shared" si="14"/>
        <v>0.5</v>
      </c>
      <c r="G39" s="15">
        <f t="shared" si="15"/>
        <v>0.852</v>
      </c>
      <c r="H39" s="15">
        <f t="shared" si="16"/>
        <v>1.4603080644209827</v>
      </c>
      <c r="I39" s="15">
        <f t="shared" si="17"/>
        <v>0.011</v>
      </c>
      <c r="J39" s="19"/>
      <c r="K39" s="19">
        <f t="shared" si="12"/>
        <v>0.5608035062545216</v>
      </c>
      <c r="L39" s="19">
        <f t="shared" si="18"/>
        <v>0.5320283875879142</v>
      </c>
      <c r="M39" s="19">
        <f t="shared" si="13"/>
        <v>1.05408568290325</v>
      </c>
      <c r="N39" s="19"/>
      <c r="O39" s="15">
        <f t="shared" si="19"/>
        <v>2.031935065916869</v>
      </c>
    </row>
    <row r="40" spans="3:15" ht="12.75">
      <c r="C40" s="19"/>
      <c r="D40" s="19"/>
      <c r="E40" s="19"/>
      <c r="F40" s="19"/>
      <c r="G40" s="19"/>
      <c r="H40" s="19"/>
      <c r="I40" s="19"/>
      <c r="J40" s="19"/>
      <c r="M40" s="19"/>
      <c r="N40" s="19"/>
      <c r="O40" s="15"/>
    </row>
    <row r="41" spans="3:15" ht="12.75">
      <c r="C41" s="19"/>
      <c r="D41" s="19"/>
      <c r="E41" s="19"/>
      <c r="F41" s="19"/>
      <c r="G41" s="19"/>
      <c r="H41" s="19"/>
      <c r="I41" s="19"/>
      <c r="J41" s="19"/>
      <c r="K41" s="22" t="s">
        <v>60</v>
      </c>
      <c r="M41" s="19">
        <f>EXP(1/9*LN(M39/M30))-1</f>
        <v>0.005869797911241648</v>
      </c>
      <c r="N41" s="19"/>
      <c r="O41" s="15"/>
    </row>
    <row r="42" ht="12.75">
      <c r="A42" s="22" t="s">
        <v>170</v>
      </c>
    </row>
    <row r="43" ht="12.75">
      <c r="A43" s="22"/>
    </row>
    <row r="44" spans="1:15" ht="12.75">
      <c r="A44" s="22"/>
      <c r="C44" s="22" t="s">
        <v>49</v>
      </c>
      <c r="D44" s="22" t="s">
        <v>50</v>
      </c>
      <c r="E44" s="22" t="s">
        <v>54</v>
      </c>
      <c r="F44" s="22" t="s">
        <v>56</v>
      </c>
      <c r="G44" s="22" t="s">
        <v>59</v>
      </c>
      <c r="H44" s="22" t="s">
        <v>55</v>
      </c>
      <c r="I44" s="22" t="s">
        <v>58</v>
      </c>
      <c r="J44" s="22"/>
      <c r="K44" s="22" t="s">
        <v>51</v>
      </c>
      <c r="L44" s="22" t="s">
        <v>57</v>
      </c>
      <c r="M44" s="22" t="s">
        <v>52</v>
      </c>
      <c r="N44" s="22"/>
      <c r="O44" s="22" t="s">
        <v>53</v>
      </c>
    </row>
    <row r="45" spans="1:15" ht="12.75">
      <c r="A45" s="22"/>
      <c r="C45" s="22"/>
      <c r="D45" s="22"/>
      <c r="E45" s="22"/>
      <c r="F45" s="22"/>
      <c r="G45" s="22"/>
      <c r="H45" s="22"/>
      <c r="I45" s="22"/>
      <c r="J45" s="22"/>
      <c r="K45" s="22"/>
      <c r="L45" s="22"/>
      <c r="M45" s="22"/>
      <c r="N45" s="22"/>
      <c r="O45" s="22"/>
    </row>
    <row r="46" spans="1:15" ht="12.75">
      <c r="A46" s="22">
        <v>1990</v>
      </c>
      <c r="C46" s="22"/>
      <c r="D46" s="22"/>
      <c r="E46" s="22"/>
      <c r="F46" s="22"/>
      <c r="G46" s="22"/>
      <c r="H46" s="22"/>
      <c r="I46" s="22"/>
      <c r="J46" s="22"/>
      <c r="K46" s="22"/>
      <c r="L46" s="22"/>
      <c r="M46" s="22"/>
      <c r="N46" s="22"/>
      <c r="O46" s="22"/>
    </row>
    <row r="47" ht="12.75">
      <c r="A47" s="13">
        <v>1991</v>
      </c>
    </row>
    <row r="48" spans="1:15" ht="12.75">
      <c r="A48" s="13">
        <v>1992</v>
      </c>
      <c r="O48" s="15"/>
    </row>
    <row r="49" spans="1:15" ht="12.75">
      <c r="A49" s="13">
        <f aca="true" t="shared" si="20" ref="A49:A58">A48+1</f>
        <v>1993</v>
      </c>
      <c r="C49" s="19">
        <v>0.15976331360946747</v>
      </c>
      <c r="D49" s="19">
        <f aca="true" t="shared" si="21" ref="D49:D58">1-C49</f>
        <v>0.8402366863905325</v>
      </c>
      <c r="E49" s="15">
        <v>1.8669871182803957</v>
      </c>
      <c r="F49" s="15">
        <v>0.5</v>
      </c>
      <c r="G49" s="15">
        <v>0.129</v>
      </c>
      <c r="H49" s="15">
        <f>E49*(1-F49)/F49*(C49/D49)^(1-G49)</f>
        <v>0.4397602917348834</v>
      </c>
      <c r="I49" s="15">
        <v>0.02</v>
      </c>
      <c r="J49" s="19"/>
      <c r="K49" s="19">
        <f>(F49*H49*(1+I49)^(A49-1993)*C49^(G49)+(1-F49)*D49^(G49))^(1/G49)</f>
        <v>0.04107687848498475</v>
      </c>
      <c r="L49" s="19">
        <f>K49</f>
        <v>0.04107687848498475</v>
      </c>
      <c r="M49" s="19">
        <f>K49/L49</f>
        <v>1</v>
      </c>
      <c r="N49" s="19"/>
      <c r="O49" s="15"/>
    </row>
    <row r="50" spans="1:15" ht="12.75">
      <c r="A50" s="13">
        <f t="shared" si="20"/>
        <v>1994</v>
      </c>
      <c r="C50" s="19">
        <v>0.16216216216216217</v>
      </c>
      <c r="D50" s="19">
        <f t="shared" si="21"/>
        <v>0.8378378378378378</v>
      </c>
      <c r="E50" s="15">
        <v>1.8979368195283015</v>
      </c>
      <c r="F50" s="15">
        <f>F49</f>
        <v>0.5</v>
      </c>
      <c r="G50" s="15">
        <f>G49</f>
        <v>0.129</v>
      </c>
      <c r="H50" s="15">
        <f>H49</f>
        <v>0.4397602917348834</v>
      </c>
      <c r="I50" s="15">
        <f>I49</f>
        <v>0.02</v>
      </c>
      <c r="J50" s="19"/>
      <c r="K50" s="19">
        <f aca="true" t="shared" si="22" ref="K50:K58">(F50*H50*(1+I50)^(A50-1993)*C50^(G50)+(1-F50)*D50^(G50))^(1/G50)</f>
        <v>0.04285508694655066</v>
      </c>
      <c r="L50" s="19">
        <f>L49</f>
        <v>0.04107687848498475</v>
      </c>
      <c r="M50" s="19">
        <f aca="true" t="shared" si="23" ref="M50:M58">K50/L50</f>
        <v>1.0432897660959295</v>
      </c>
      <c r="N50" s="19"/>
      <c r="O50" s="15">
        <f>F50/(1-F50)*H50*(1+I50)^(A50-1993)*(C49/D49)^(G50-1)</f>
        <v>1.9043268606460035</v>
      </c>
    </row>
    <row r="51" spans="1:15" ht="12.75">
      <c r="A51" s="13">
        <f t="shared" si="20"/>
        <v>1995</v>
      </c>
      <c r="C51" s="19">
        <v>0.15532879818594103</v>
      </c>
      <c r="D51" s="19">
        <f t="shared" si="21"/>
        <v>0.844671201814059</v>
      </c>
      <c r="E51" s="15">
        <v>1.858270381203828</v>
      </c>
      <c r="F51" s="15">
        <f aca="true" t="shared" si="24" ref="F51:F58">F50</f>
        <v>0.5</v>
      </c>
      <c r="G51" s="15">
        <f aca="true" t="shared" si="25" ref="G51:G58">G50</f>
        <v>0.129</v>
      </c>
      <c r="H51" s="15">
        <f aca="true" t="shared" si="26" ref="H51:H58">H50</f>
        <v>0.4397602917348834</v>
      </c>
      <c r="I51" s="15">
        <f aca="true" t="shared" si="27" ref="I51:I58">I50</f>
        <v>0.02</v>
      </c>
      <c r="J51" s="19"/>
      <c r="K51" s="19">
        <f t="shared" si="22"/>
        <v>0.04440397168652234</v>
      </c>
      <c r="L51" s="19">
        <f aca="true" t="shared" si="28" ref="L51:L58">L50</f>
        <v>0.04107687848498475</v>
      </c>
      <c r="M51" s="19">
        <f t="shared" si="23"/>
        <v>1.0809967389015154</v>
      </c>
      <c r="N51" s="19"/>
      <c r="O51" s="15">
        <f aca="true" t="shared" si="29" ref="O51:O58">F51/(1-F51)*H51*(1+I51)^(A51-1993)*(C50/D50)^(G51-1)</f>
        <v>1.912593395868069</v>
      </c>
    </row>
    <row r="52" spans="1:15" ht="12.75">
      <c r="A52" s="13">
        <f t="shared" si="20"/>
        <v>1996</v>
      </c>
      <c r="C52" s="19">
        <v>0.14578587699316628</v>
      </c>
      <c r="D52" s="19">
        <f t="shared" si="21"/>
        <v>0.8542141230068337</v>
      </c>
      <c r="E52" s="15">
        <v>1.84113500808426</v>
      </c>
      <c r="F52" s="15">
        <f t="shared" si="24"/>
        <v>0.5</v>
      </c>
      <c r="G52" s="15">
        <f t="shared" si="25"/>
        <v>0.129</v>
      </c>
      <c r="H52" s="15">
        <f t="shared" si="26"/>
        <v>0.4397602917348834</v>
      </c>
      <c r="I52" s="15">
        <f t="shared" si="27"/>
        <v>0.02</v>
      </c>
      <c r="J52" s="19"/>
      <c r="K52" s="19">
        <f t="shared" si="22"/>
        <v>0.04587167392184255</v>
      </c>
      <c r="L52" s="19">
        <f t="shared" si="28"/>
        <v>0.04107687848498475</v>
      </c>
      <c r="M52" s="19">
        <f t="shared" si="23"/>
        <v>1.1167273564521336</v>
      </c>
      <c r="N52" s="19"/>
      <c r="O52" s="15">
        <f t="shared" si="29"/>
        <v>2.039769186671829</v>
      </c>
    </row>
    <row r="53" spans="1:15" ht="12.75">
      <c r="A53" s="13">
        <f t="shared" si="20"/>
        <v>1997</v>
      </c>
      <c r="C53" s="19">
        <v>0.15011037527593818</v>
      </c>
      <c r="D53" s="19">
        <f t="shared" si="21"/>
        <v>0.8498896247240618</v>
      </c>
      <c r="E53" s="15">
        <v>2.06036379615491</v>
      </c>
      <c r="F53" s="15">
        <f t="shared" si="24"/>
        <v>0.5</v>
      </c>
      <c r="G53" s="15">
        <f t="shared" si="25"/>
        <v>0.129</v>
      </c>
      <c r="H53" s="15">
        <f t="shared" si="26"/>
        <v>0.4397602917348834</v>
      </c>
      <c r="I53" s="15">
        <f t="shared" si="27"/>
        <v>0.02</v>
      </c>
      <c r="J53" s="19"/>
      <c r="K53" s="19">
        <f t="shared" si="22"/>
        <v>0.04804306582716455</v>
      </c>
      <c r="L53" s="19">
        <f t="shared" si="28"/>
        <v>0.04107687848498475</v>
      </c>
      <c r="M53" s="19">
        <f t="shared" si="23"/>
        <v>1.1695890145286043</v>
      </c>
      <c r="N53" s="19"/>
      <c r="O53" s="15">
        <f t="shared" si="29"/>
        <v>2.2203179806727995</v>
      </c>
    </row>
    <row r="54" spans="1:15" ht="12.75">
      <c r="A54" s="13">
        <f t="shared" si="20"/>
        <v>1998</v>
      </c>
      <c r="C54" s="19">
        <v>0.1620421753607103</v>
      </c>
      <c r="D54" s="19">
        <f t="shared" si="21"/>
        <v>0.8379578246392897</v>
      </c>
      <c r="E54" s="15">
        <v>2.2831269944251007</v>
      </c>
      <c r="F54" s="15">
        <f t="shared" si="24"/>
        <v>0.5</v>
      </c>
      <c r="G54" s="15">
        <f t="shared" si="25"/>
        <v>0.129</v>
      </c>
      <c r="H54" s="15">
        <f t="shared" si="26"/>
        <v>0.4397602917348834</v>
      </c>
      <c r="I54" s="15">
        <f t="shared" si="27"/>
        <v>0.02</v>
      </c>
      <c r="J54" s="19"/>
      <c r="K54" s="19">
        <f t="shared" si="22"/>
        <v>0.05070549229402323</v>
      </c>
      <c r="L54" s="19">
        <f t="shared" si="28"/>
        <v>0.04107687848498475</v>
      </c>
      <c r="M54" s="19">
        <f t="shared" si="23"/>
        <v>1.234404710488362</v>
      </c>
      <c r="N54" s="19"/>
      <c r="O54" s="15">
        <f t="shared" si="29"/>
        <v>2.198051700692417</v>
      </c>
    </row>
    <row r="55" spans="1:15" ht="12.75">
      <c r="A55" s="13">
        <f t="shared" si="20"/>
        <v>1999</v>
      </c>
      <c r="C55" s="19">
        <v>0.16930022573363435</v>
      </c>
      <c r="D55" s="19">
        <f t="shared" si="21"/>
        <v>0.8306997742663657</v>
      </c>
      <c r="E55" s="15">
        <v>1.9384664714995343</v>
      </c>
      <c r="F55" s="15">
        <f t="shared" si="24"/>
        <v>0.5</v>
      </c>
      <c r="G55" s="15">
        <f t="shared" si="25"/>
        <v>0.129</v>
      </c>
      <c r="H55" s="15">
        <f t="shared" si="26"/>
        <v>0.4397602917348834</v>
      </c>
      <c r="I55" s="15">
        <f t="shared" si="27"/>
        <v>0.02</v>
      </c>
      <c r="J55" s="19"/>
      <c r="K55" s="19">
        <f t="shared" si="22"/>
        <v>0.05330308282209226</v>
      </c>
      <c r="L55" s="19">
        <f t="shared" si="28"/>
        <v>0.04107687848498475</v>
      </c>
      <c r="M55" s="19">
        <f t="shared" si="23"/>
        <v>1.297642001730406</v>
      </c>
      <c r="N55" s="19"/>
      <c r="O55" s="15">
        <f t="shared" si="29"/>
        <v>2.0718461378192443</v>
      </c>
    </row>
    <row r="56" spans="1:15" ht="12.75">
      <c r="A56" s="13">
        <f t="shared" si="20"/>
        <v>2000</v>
      </c>
      <c r="C56" s="19">
        <v>0.17222222222222222</v>
      </c>
      <c r="D56" s="19">
        <f t="shared" si="21"/>
        <v>0.8277777777777777</v>
      </c>
      <c r="E56" s="15">
        <v>1.8966932540167463</v>
      </c>
      <c r="F56" s="15">
        <f t="shared" si="24"/>
        <v>0.5</v>
      </c>
      <c r="G56" s="15">
        <f t="shared" si="25"/>
        <v>0.129</v>
      </c>
      <c r="H56" s="15">
        <f t="shared" si="26"/>
        <v>0.4397602917348834</v>
      </c>
      <c r="I56" s="15">
        <f t="shared" si="27"/>
        <v>0.02</v>
      </c>
      <c r="J56" s="19"/>
      <c r="K56" s="19">
        <f t="shared" si="22"/>
        <v>0.055864369462198665</v>
      </c>
      <c r="L56" s="19">
        <f t="shared" si="28"/>
        <v>0.04107687848498475</v>
      </c>
      <c r="M56" s="19">
        <f t="shared" si="23"/>
        <v>1.359995489497074</v>
      </c>
      <c r="N56" s="19"/>
      <c r="O56" s="15">
        <f t="shared" si="29"/>
        <v>2.018795388682546</v>
      </c>
    </row>
    <row r="57" spans="1:15" ht="12.75">
      <c r="A57" s="13">
        <f t="shared" si="20"/>
        <v>2001</v>
      </c>
      <c r="C57" s="19">
        <v>0.1726775956284153</v>
      </c>
      <c r="D57" s="19">
        <f t="shared" si="21"/>
        <v>0.8273224043715847</v>
      </c>
      <c r="E57" s="15">
        <v>1.920579297790927</v>
      </c>
      <c r="F57" s="15">
        <f t="shared" si="24"/>
        <v>0.5</v>
      </c>
      <c r="G57" s="15">
        <f t="shared" si="25"/>
        <v>0.129</v>
      </c>
      <c r="H57" s="15">
        <f t="shared" si="26"/>
        <v>0.4397602917348834</v>
      </c>
      <c r="I57" s="15">
        <f t="shared" si="27"/>
        <v>0.02</v>
      </c>
      <c r="J57" s="19"/>
      <c r="K57" s="19">
        <f t="shared" si="22"/>
        <v>0.05846741262227233</v>
      </c>
      <c r="L57" s="19">
        <f t="shared" si="28"/>
        <v>0.04107687848498475</v>
      </c>
      <c r="M57" s="19">
        <f t="shared" si="23"/>
        <v>1.42336552286086</v>
      </c>
      <c r="N57" s="19"/>
      <c r="O57" s="15">
        <f t="shared" si="29"/>
        <v>2.022490967042868</v>
      </c>
    </row>
    <row r="58" spans="1:15" ht="12.75">
      <c r="A58" s="13">
        <f t="shared" si="20"/>
        <v>2002</v>
      </c>
      <c r="C58" s="19">
        <v>0.184</v>
      </c>
      <c r="D58" s="19">
        <f t="shared" si="21"/>
        <v>0.8160000000000001</v>
      </c>
      <c r="E58" s="15">
        <v>2.047016999888647</v>
      </c>
      <c r="F58" s="15">
        <f t="shared" si="24"/>
        <v>0.5</v>
      </c>
      <c r="G58" s="15">
        <f t="shared" si="25"/>
        <v>0.129</v>
      </c>
      <c r="H58" s="15">
        <f t="shared" si="26"/>
        <v>0.4397602917348834</v>
      </c>
      <c r="I58" s="15">
        <f t="shared" si="27"/>
        <v>0.02</v>
      </c>
      <c r="J58" s="19"/>
      <c r="K58" s="19">
        <f t="shared" si="22"/>
        <v>0.06179254584848494</v>
      </c>
      <c r="L58" s="19">
        <f t="shared" si="28"/>
        <v>0.04107687848498475</v>
      </c>
      <c r="M58" s="19">
        <f t="shared" si="23"/>
        <v>1.504314546955475</v>
      </c>
      <c r="N58" s="19"/>
      <c r="O58" s="15">
        <f t="shared" si="29"/>
        <v>2.057215302930497</v>
      </c>
    </row>
    <row r="59" spans="3:15" ht="12.75">
      <c r="C59" s="19"/>
      <c r="D59" s="19"/>
      <c r="E59" s="19"/>
      <c r="F59" s="19"/>
      <c r="G59" s="19"/>
      <c r="H59" s="19"/>
      <c r="I59" s="19"/>
      <c r="J59" s="19"/>
      <c r="M59" s="19"/>
      <c r="N59" s="19"/>
      <c r="O59" s="15"/>
    </row>
    <row r="60" spans="3:15" ht="12.75">
      <c r="C60" s="19"/>
      <c r="D60" s="19"/>
      <c r="E60" s="19"/>
      <c r="F60" s="19"/>
      <c r="G60" s="19"/>
      <c r="H60" s="19"/>
      <c r="I60" s="19"/>
      <c r="J60" s="19"/>
      <c r="K60" s="22" t="s">
        <v>60</v>
      </c>
      <c r="M60" s="19">
        <f>EXP(1/9*LN(M58/M49))-1</f>
        <v>0.0464158156924217</v>
      </c>
      <c r="N60" s="19"/>
      <c r="O60" s="15"/>
    </row>
    <row r="62" ht="12.75">
      <c r="A62" s="22"/>
    </row>
    <row r="63" ht="12.75">
      <c r="A63" s="22"/>
    </row>
    <row r="64" spans="1:15" ht="12.75">
      <c r="A64" s="22"/>
      <c r="C64" s="22"/>
      <c r="D64" s="22"/>
      <c r="E64" s="22"/>
      <c r="F64" s="22"/>
      <c r="G64" s="22"/>
      <c r="H64" s="22"/>
      <c r="I64" s="22"/>
      <c r="J64" s="22"/>
      <c r="K64" s="22"/>
      <c r="L64" s="22"/>
      <c r="M64" s="22"/>
      <c r="N64" s="22"/>
      <c r="O64" s="22"/>
    </row>
    <row r="65" spans="1:15" ht="12.75">
      <c r="A65" s="22"/>
      <c r="C65" s="22"/>
      <c r="D65" s="22"/>
      <c r="E65" s="22"/>
      <c r="F65" s="22"/>
      <c r="G65" s="22"/>
      <c r="H65" s="22"/>
      <c r="I65" s="22"/>
      <c r="J65" s="22"/>
      <c r="K65" s="22"/>
      <c r="L65" s="22"/>
      <c r="M65" s="22"/>
      <c r="N65" s="22"/>
      <c r="O65" s="22"/>
    </row>
    <row r="66" spans="1:15" ht="12.75">
      <c r="A66" s="22"/>
      <c r="C66" s="22"/>
      <c r="D66" s="22"/>
      <c r="E66" s="22"/>
      <c r="F66" s="22"/>
      <c r="G66" s="22"/>
      <c r="H66" s="22"/>
      <c r="I66" s="22"/>
      <c r="J66" s="22"/>
      <c r="K66" s="22"/>
      <c r="L66" s="22"/>
      <c r="M66" s="22"/>
      <c r="N66" s="22"/>
      <c r="O66" s="22"/>
    </row>
    <row r="68" ht="12.75">
      <c r="O68" s="15"/>
    </row>
    <row r="69" spans="3:15" ht="12.75">
      <c r="C69" s="19"/>
      <c r="D69" s="19"/>
      <c r="E69" s="15"/>
      <c r="F69" s="15"/>
      <c r="G69" s="15"/>
      <c r="H69" s="15"/>
      <c r="I69" s="15"/>
      <c r="J69" s="19"/>
      <c r="K69" s="19"/>
      <c r="L69" s="19"/>
      <c r="M69" s="19"/>
      <c r="N69" s="19"/>
      <c r="O69" s="15"/>
    </row>
    <row r="70" spans="3:15" ht="12.75">
      <c r="C70" s="19"/>
      <c r="D70" s="19"/>
      <c r="E70" s="15"/>
      <c r="F70" s="15"/>
      <c r="G70" s="15"/>
      <c r="H70" s="15"/>
      <c r="I70" s="15"/>
      <c r="J70" s="19"/>
      <c r="K70" s="19"/>
      <c r="L70" s="19"/>
      <c r="M70" s="19"/>
      <c r="N70" s="19"/>
      <c r="O70" s="15"/>
    </row>
    <row r="71" spans="3:15" ht="12.75">
      <c r="C71" s="19"/>
      <c r="D71" s="19"/>
      <c r="E71" s="15"/>
      <c r="F71" s="15"/>
      <c r="G71" s="15"/>
      <c r="H71" s="15"/>
      <c r="I71" s="15"/>
      <c r="J71" s="19"/>
      <c r="K71" s="19"/>
      <c r="L71" s="19"/>
      <c r="M71" s="19"/>
      <c r="N71" s="19"/>
      <c r="O71" s="15"/>
    </row>
    <row r="72" spans="3:15" ht="12.75">
      <c r="C72" s="19"/>
      <c r="D72" s="19"/>
      <c r="E72" s="15"/>
      <c r="F72" s="15"/>
      <c r="G72" s="15"/>
      <c r="H72" s="15"/>
      <c r="I72" s="15"/>
      <c r="J72" s="19"/>
      <c r="K72" s="19"/>
      <c r="L72" s="19"/>
      <c r="M72" s="19"/>
      <c r="N72" s="19"/>
      <c r="O72" s="15"/>
    </row>
    <row r="73" spans="3:15" ht="12.75">
      <c r="C73" s="19"/>
      <c r="D73" s="19"/>
      <c r="E73" s="15"/>
      <c r="F73" s="15"/>
      <c r="G73" s="15"/>
      <c r="H73" s="15"/>
      <c r="I73" s="15"/>
      <c r="J73" s="19"/>
      <c r="K73" s="19"/>
      <c r="L73" s="19"/>
      <c r="M73" s="19"/>
      <c r="N73" s="19"/>
      <c r="O73" s="15"/>
    </row>
    <row r="74" spans="3:15" ht="12.75">
      <c r="C74" s="19"/>
      <c r="D74" s="19"/>
      <c r="E74" s="15"/>
      <c r="F74" s="15"/>
      <c r="G74" s="15"/>
      <c r="H74" s="15"/>
      <c r="I74" s="15"/>
      <c r="J74" s="19"/>
      <c r="K74" s="19"/>
      <c r="L74" s="19"/>
      <c r="M74" s="19"/>
      <c r="N74" s="19"/>
      <c r="O74" s="15"/>
    </row>
    <row r="75" spans="3:15" ht="12.75">
      <c r="C75" s="19"/>
      <c r="D75" s="19"/>
      <c r="E75" s="15"/>
      <c r="F75" s="15"/>
      <c r="G75" s="15"/>
      <c r="H75" s="15"/>
      <c r="I75" s="15"/>
      <c r="J75" s="19"/>
      <c r="K75" s="19"/>
      <c r="L75" s="19"/>
      <c r="M75" s="19"/>
      <c r="N75" s="19"/>
      <c r="O75" s="15"/>
    </row>
    <row r="76" spans="3:15" ht="12.75">
      <c r="C76" s="19"/>
      <c r="D76" s="19"/>
      <c r="E76" s="15"/>
      <c r="F76" s="15"/>
      <c r="G76" s="15"/>
      <c r="H76" s="15"/>
      <c r="I76" s="15"/>
      <c r="J76" s="19"/>
      <c r="K76" s="19"/>
      <c r="L76" s="19"/>
      <c r="M76" s="19"/>
      <c r="N76" s="19"/>
      <c r="O76" s="15"/>
    </row>
    <row r="77" spans="3:15" ht="12.75">
      <c r="C77" s="19"/>
      <c r="D77" s="19"/>
      <c r="E77" s="15"/>
      <c r="F77" s="15"/>
      <c r="G77" s="15"/>
      <c r="H77" s="15"/>
      <c r="I77" s="15"/>
      <c r="J77" s="19"/>
      <c r="K77" s="19"/>
      <c r="L77" s="19"/>
      <c r="M77" s="19"/>
      <c r="N77" s="19"/>
      <c r="O77" s="15"/>
    </row>
    <row r="78" spans="3:15" ht="12.75">
      <c r="C78" s="19"/>
      <c r="D78" s="19"/>
      <c r="E78" s="15"/>
      <c r="F78" s="15"/>
      <c r="G78" s="15"/>
      <c r="H78" s="15"/>
      <c r="I78" s="15"/>
      <c r="J78" s="19"/>
      <c r="K78" s="19"/>
      <c r="L78" s="19"/>
      <c r="M78" s="19"/>
      <c r="N78" s="19"/>
      <c r="O78" s="15"/>
    </row>
    <row r="79" spans="3:15" ht="12.75">
      <c r="C79" s="19"/>
      <c r="D79" s="19"/>
      <c r="E79" s="19"/>
      <c r="F79" s="19"/>
      <c r="G79" s="19"/>
      <c r="H79" s="19"/>
      <c r="I79" s="19"/>
      <c r="J79" s="19"/>
      <c r="M79" s="19"/>
      <c r="N79" s="19"/>
      <c r="O79" s="15"/>
    </row>
    <row r="80" spans="3:15" ht="12.75">
      <c r="C80" s="19"/>
      <c r="D80" s="19"/>
      <c r="E80" s="19"/>
      <c r="F80" s="19"/>
      <c r="G80" s="19"/>
      <c r="H80" s="19"/>
      <c r="I80" s="19"/>
      <c r="J80" s="19"/>
      <c r="K80" s="22"/>
      <c r="M80" s="19"/>
      <c r="N80" s="19"/>
      <c r="O80" s="15"/>
    </row>
  </sheetData>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D84"/>
  <sheetViews>
    <sheetView workbookViewId="0" topLeftCell="A52">
      <selection activeCell="A1" sqref="A1"/>
    </sheetView>
  </sheetViews>
  <sheetFormatPr defaultColWidth="9.140625" defaultRowHeight="12.75"/>
  <cols>
    <col min="3" max="5" width="14.8515625" style="0" customWidth="1"/>
    <col min="7" max="7" width="6.7109375" style="0" customWidth="1"/>
    <col min="8" max="8" width="11.00390625" style="0" bestFit="1" customWidth="1"/>
    <col min="9" max="9" width="11.00390625" style="0" customWidth="1"/>
    <col min="15" max="15" width="11.140625" style="0" customWidth="1"/>
    <col min="17" max="19" width="15.140625" style="0" customWidth="1"/>
    <col min="21" max="21" width="11.28125" style="0" customWidth="1"/>
    <col min="25" max="25" width="11.00390625" style="0" bestFit="1" customWidth="1"/>
    <col min="26" max="26" width="11.00390625" style="0" customWidth="1"/>
    <col min="28" max="28" width="11.00390625" style="0" bestFit="1" customWidth="1"/>
  </cols>
  <sheetData>
    <row r="1" spans="1:25" ht="12.75">
      <c r="A1" t="s">
        <v>252</v>
      </c>
      <c r="Y1" t="s">
        <v>471</v>
      </c>
    </row>
    <row r="3" spans="17:28" ht="12.75">
      <c r="Q3" t="s">
        <v>184</v>
      </c>
      <c r="R3" t="s">
        <v>69</v>
      </c>
      <c r="Y3" t="s">
        <v>186</v>
      </c>
      <c r="Z3" t="s">
        <v>187</v>
      </c>
      <c r="AB3" t="s">
        <v>33</v>
      </c>
    </row>
    <row r="4" spans="1:21" ht="12.75">
      <c r="A4" t="s">
        <v>1</v>
      </c>
      <c r="C4" t="s">
        <v>483</v>
      </c>
      <c r="D4" t="s">
        <v>479</v>
      </c>
      <c r="E4" t="s">
        <v>484</v>
      </c>
      <c r="F4" t="s">
        <v>485</v>
      </c>
      <c r="H4" t="s">
        <v>12</v>
      </c>
      <c r="I4" t="s">
        <v>42</v>
      </c>
      <c r="K4" t="s">
        <v>10</v>
      </c>
      <c r="L4" t="s">
        <v>11</v>
      </c>
      <c r="M4" t="s">
        <v>251</v>
      </c>
      <c r="O4" t="s">
        <v>13</v>
      </c>
      <c r="Q4" t="s">
        <v>504</v>
      </c>
      <c r="S4" t="s">
        <v>43</v>
      </c>
      <c r="U4" t="s">
        <v>14</v>
      </c>
    </row>
    <row r="6" spans="1:26" ht="12.75">
      <c r="A6" s="6">
        <v>1972</v>
      </c>
      <c r="C6" s="7">
        <v>1081</v>
      </c>
      <c r="D6" s="7"/>
      <c r="E6" s="7"/>
      <c r="F6" s="1">
        <v>0.0003914724907847213</v>
      </c>
      <c r="H6">
        <f>C6/F6*100</f>
        <v>276136899.89636177</v>
      </c>
      <c r="I6">
        <f>LN(H6/1000)</f>
        <v>12.528652035842201</v>
      </c>
      <c r="K6">
        <v>0.075</v>
      </c>
      <c r="O6">
        <v>1511671661.3999674</v>
      </c>
      <c r="Q6" s="9">
        <f>2.14*O6</f>
        <v>3234977355.3959303</v>
      </c>
      <c r="R6" s="9"/>
      <c r="S6" s="9">
        <f>LN(Q6/1000)</f>
        <v>14.989532486015028</v>
      </c>
      <c r="Y6" s="9">
        <f>Q6</f>
        <v>3234977355.3959303</v>
      </c>
      <c r="Z6" s="9">
        <f>LN(Y6/1000)</f>
        <v>14.989532486015028</v>
      </c>
    </row>
    <row r="7" spans="1:27" ht="12.75">
      <c r="A7" s="6">
        <f>A6+1</f>
        <v>1973</v>
      </c>
      <c r="C7" s="7">
        <v>1462</v>
      </c>
      <c r="D7" s="7"/>
      <c r="E7" s="7"/>
      <c r="F7" s="1">
        <v>0.0004431468595683045</v>
      </c>
      <c r="H7">
        <f aca="true" t="shared" si="0" ref="H7:H36">C7/F7*100</f>
        <v>329913203.36202323</v>
      </c>
      <c r="I7">
        <f aca="true" t="shared" si="1" ref="I7:I36">LN(H7/1000)</f>
        <v>12.706584878731725</v>
      </c>
      <c r="K7">
        <f>K6</f>
        <v>0.075</v>
      </c>
      <c r="Q7" s="9">
        <f aca="true" t="shared" si="2" ref="Q7:Q20">Q6*(1-K7)+H7</f>
        <v>3322267257.103259</v>
      </c>
      <c r="R7" s="1">
        <f>LN(Q7/Q6)</f>
        <v>0.02662553056760069</v>
      </c>
      <c r="S7" s="9">
        <f aca="true" t="shared" si="3" ref="S7:S36">LN(Q7/1000)</f>
        <v>15.01615801658263</v>
      </c>
      <c r="Y7" s="9">
        <f aca="true" t="shared" si="4" ref="Y7:Y20">Y6*(1-K7)+H7</f>
        <v>3322267257.103259</v>
      </c>
      <c r="Z7" s="9">
        <f aca="true" t="shared" si="5" ref="Z7:Z36">LN(Y7/1000)</f>
        <v>15.01615801658263</v>
      </c>
      <c r="AA7">
        <f aca="true" t="shared" si="6" ref="AA7:AA36">LN(Y7/Y6)</f>
        <v>0.02662553056760069</v>
      </c>
    </row>
    <row r="8" spans="1:27" ht="12.75">
      <c r="A8" s="6">
        <f aca="true" t="shared" si="7" ref="A8:A36">A7+1</f>
        <v>1974</v>
      </c>
      <c r="C8" s="8">
        <v>1977</v>
      </c>
      <c r="D8" s="8"/>
      <c r="E8" s="8"/>
      <c r="F8" s="1">
        <v>0.0005929304981023914</v>
      </c>
      <c r="H8">
        <f t="shared" si="0"/>
        <v>333428623.8146242</v>
      </c>
      <c r="I8">
        <f t="shared" si="1"/>
        <v>12.717184099886582</v>
      </c>
      <c r="K8">
        <f aca="true" t="shared" si="8" ref="K8:K36">K7</f>
        <v>0.075</v>
      </c>
      <c r="Q8" s="9">
        <f t="shared" si="2"/>
        <v>3406525836.635139</v>
      </c>
      <c r="R8" s="1">
        <f aca="true" t="shared" si="9" ref="R8:R36">LN(Q8/Q7)</f>
        <v>0.02504549709500409</v>
      </c>
      <c r="S8" s="9">
        <f t="shared" si="3"/>
        <v>15.041203513677633</v>
      </c>
      <c r="Y8" s="9">
        <f t="shared" si="4"/>
        <v>3406525836.635139</v>
      </c>
      <c r="Z8" s="9">
        <f t="shared" si="5"/>
        <v>15.041203513677633</v>
      </c>
      <c r="AA8">
        <f t="shared" si="6"/>
        <v>0.02504549709500409</v>
      </c>
    </row>
    <row r="9" spans="1:27" ht="12.75">
      <c r="A9" s="6">
        <f t="shared" si="7"/>
        <v>1975</v>
      </c>
      <c r="C9" s="8">
        <v>3223</v>
      </c>
      <c r="D9" s="8"/>
      <c r="E9" s="8"/>
      <c r="F9" s="1">
        <v>0.0007548005240843443</v>
      </c>
      <c r="H9">
        <f t="shared" si="0"/>
        <v>427000233.4603374</v>
      </c>
      <c r="I9">
        <f t="shared" si="1"/>
        <v>12.964539838956133</v>
      </c>
      <c r="K9">
        <f t="shared" si="8"/>
        <v>0.075</v>
      </c>
      <c r="Q9" s="9">
        <f t="shared" si="2"/>
        <v>3578036632.3478413</v>
      </c>
      <c r="R9" s="1">
        <f t="shared" si="9"/>
        <v>0.0491212675398307</v>
      </c>
      <c r="S9" s="9">
        <f t="shared" si="3"/>
        <v>15.090324781217463</v>
      </c>
      <c r="Y9" s="9">
        <f t="shared" si="4"/>
        <v>3578036632.3478413</v>
      </c>
      <c r="Z9" s="9">
        <f t="shared" si="5"/>
        <v>15.090324781217463</v>
      </c>
      <c r="AA9">
        <f t="shared" si="6"/>
        <v>0.0491212675398307</v>
      </c>
    </row>
    <row r="10" spans="1:27" ht="12.75">
      <c r="A10" s="6">
        <f t="shared" si="7"/>
        <v>1976</v>
      </c>
      <c r="C10" s="8">
        <v>3638</v>
      </c>
      <c r="D10" s="8"/>
      <c r="E10" s="8"/>
      <c r="F10" s="1">
        <v>0.0007940501513367302</v>
      </c>
      <c r="H10">
        <f t="shared" si="0"/>
        <v>458157459.4344792</v>
      </c>
      <c r="I10">
        <f t="shared" si="1"/>
        <v>13.034968201903245</v>
      </c>
      <c r="K10">
        <f t="shared" si="8"/>
        <v>0.075</v>
      </c>
      <c r="Q10" s="9">
        <f t="shared" si="2"/>
        <v>3767841344.3562326</v>
      </c>
      <c r="R10" s="1">
        <f t="shared" si="9"/>
        <v>0.0516880265118709</v>
      </c>
      <c r="S10" s="9">
        <f t="shared" si="3"/>
        <v>15.142012807729335</v>
      </c>
      <c r="Y10" s="9">
        <f t="shared" si="4"/>
        <v>3767841344.3562326</v>
      </c>
      <c r="Z10" s="9">
        <f t="shared" si="5"/>
        <v>15.142012807729335</v>
      </c>
      <c r="AA10">
        <f t="shared" si="6"/>
        <v>0.0516880265118709</v>
      </c>
    </row>
    <row r="11" spans="1:27" ht="12.75">
      <c r="A11" s="6">
        <f t="shared" si="7"/>
        <v>1977</v>
      </c>
      <c r="C11" s="8">
        <v>4259</v>
      </c>
      <c r="D11" s="8"/>
      <c r="E11" s="8"/>
      <c r="F11" s="1">
        <v>0.0008639265646543623</v>
      </c>
      <c r="H11">
        <f t="shared" si="0"/>
        <v>492981715.604952</v>
      </c>
      <c r="I11">
        <f t="shared" si="1"/>
        <v>13.10822736431464</v>
      </c>
      <c r="K11">
        <f t="shared" si="8"/>
        <v>0.075</v>
      </c>
      <c r="Q11" s="9">
        <f t="shared" si="2"/>
        <v>3978234959.134467</v>
      </c>
      <c r="R11" s="1">
        <f t="shared" si="9"/>
        <v>0.05433599356160483</v>
      </c>
      <c r="S11" s="9">
        <f t="shared" si="3"/>
        <v>15.19634880129094</v>
      </c>
      <c r="Y11" s="9">
        <f t="shared" si="4"/>
        <v>3978234959.134467</v>
      </c>
      <c r="Z11" s="9">
        <f t="shared" si="5"/>
        <v>15.19634880129094</v>
      </c>
      <c r="AA11">
        <f t="shared" si="6"/>
        <v>0.05433599356160483</v>
      </c>
    </row>
    <row r="12" spans="1:27" ht="12.75">
      <c r="A12" s="6">
        <f t="shared" si="7"/>
        <v>1978</v>
      </c>
      <c r="C12" s="8">
        <v>5251</v>
      </c>
      <c r="D12" s="8"/>
      <c r="E12" s="8"/>
      <c r="F12" s="1">
        <v>0.0009555027805077246</v>
      </c>
      <c r="H12">
        <f t="shared" si="0"/>
        <v>549553607.4954989</v>
      </c>
      <c r="I12">
        <f t="shared" si="1"/>
        <v>13.216861604929143</v>
      </c>
      <c r="K12">
        <f t="shared" si="8"/>
        <v>0.075</v>
      </c>
      <c r="Q12" s="9">
        <f t="shared" si="2"/>
        <v>4229420944.6948814</v>
      </c>
      <c r="R12" s="1">
        <f t="shared" si="9"/>
        <v>0.06122684785376657</v>
      </c>
      <c r="S12" s="9">
        <f t="shared" si="3"/>
        <v>15.257575649144705</v>
      </c>
      <c r="Y12" s="9">
        <f t="shared" si="4"/>
        <v>4229420944.6948814</v>
      </c>
      <c r="Z12" s="9">
        <f t="shared" si="5"/>
        <v>15.257575649144705</v>
      </c>
      <c r="AA12">
        <f t="shared" si="6"/>
        <v>0.06122684785376657</v>
      </c>
    </row>
    <row r="13" spans="1:27" ht="12.75">
      <c r="A13" s="6">
        <f t="shared" si="7"/>
        <v>1979</v>
      </c>
      <c r="C13" s="8">
        <v>6671</v>
      </c>
      <c r="D13" s="8"/>
      <c r="E13" s="8"/>
      <c r="F13" s="1">
        <v>0.0010959616892423603</v>
      </c>
      <c r="H13">
        <f t="shared" si="0"/>
        <v>608689159.984385</v>
      </c>
      <c r="I13">
        <f t="shared" si="1"/>
        <v>13.319063005853565</v>
      </c>
      <c r="K13">
        <f t="shared" si="8"/>
        <v>0.075</v>
      </c>
      <c r="Q13" s="9">
        <f t="shared" si="2"/>
        <v>4520903533.82715</v>
      </c>
      <c r="R13" s="1">
        <f t="shared" si="9"/>
        <v>0.0666467795514056</v>
      </c>
      <c r="S13" s="9">
        <f t="shared" si="3"/>
        <v>15.324222428696112</v>
      </c>
      <c r="Y13" s="9">
        <f t="shared" si="4"/>
        <v>4520903533.82715</v>
      </c>
      <c r="Z13" s="9">
        <f t="shared" si="5"/>
        <v>15.324222428696112</v>
      </c>
      <c r="AA13">
        <f t="shared" si="6"/>
        <v>0.0666467795514056</v>
      </c>
    </row>
    <row r="14" spans="1:28" ht="12.75">
      <c r="A14" s="6">
        <f t="shared" si="7"/>
        <v>1980</v>
      </c>
      <c r="C14" s="8">
        <v>7737</v>
      </c>
      <c r="D14" s="8"/>
      <c r="E14" s="8"/>
      <c r="F14" s="1">
        <v>0.0014115986557441602</v>
      </c>
      <c r="H14">
        <f t="shared" si="0"/>
        <v>548101967.1218972</v>
      </c>
      <c r="I14">
        <f t="shared" si="1"/>
        <v>13.214216620011342</v>
      </c>
      <c r="K14">
        <f t="shared" si="8"/>
        <v>0.075</v>
      </c>
      <c r="Q14" s="9">
        <f t="shared" si="2"/>
        <v>4729937735.912012</v>
      </c>
      <c r="R14" s="1">
        <f t="shared" si="9"/>
        <v>0.045200168030396566</v>
      </c>
      <c r="S14" s="9">
        <f t="shared" si="3"/>
        <v>15.369422596726508</v>
      </c>
      <c r="U14" s="1">
        <v>2487552.7551720333</v>
      </c>
      <c r="Y14" s="9">
        <f t="shared" si="4"/>
        <v>4729937735.912012</v>
      </c>
      <c r="Z14" s="9">
        <f t="shared" si="5"/>
        <v>15.369422596726508</v>
      </c>
      <c r="AA14">
        <f t="shared" si="6"/>
        <v>0.045200168030396566</v>
      </c>
      <c r="AB14" s="11">
        <f aca="true" t="shared" si="10" ref="AB14:AB36">Y14/U14/1000</f>
        <v>1.9014421809055868</v>
      </c>
    </row>
    <row r="15" spans="1:28" ht="12.75">
      <c r="A15" s="6">
        <f t="shared" si="7"/>
        <v>1981</v>
      </c>
      <c r="C15" s="8">
        <v>9533</v>
      </c>
      <c r="D15" s="8"/>
      <c r="E15" s="8"/>
      <c r="F15" s="1">
        <v>0.002011528084435428</v>
      </c>
      <c r="H15">
        <f t="shared" si="0"/>
        <v>473918314.8255973</v>
      </c>
      <c r="I15">
        <f t="shared" si="1"/>
        <v>13.068790254234852</v>
      </c>
      <c r="K15">
        <f t="shared" si="8"/>
        <v>0.075</v>
      </c>
      <c r="Q15" s="9">
        <f t="shared" si="2"/>
        <v>4849110720.544209</v>
      </c>
      <c r="R15" s="1">
        <f t="shared" si="9"/>
        <v>0.024883292786460183</v>
      </c>
      <c r="S15" s="9">
        <f t="shared" si="3"/>
        <v>15.39430588951297</v>
      </c>
      <c r="U15" s="1">
        <v>2465364.474897952</v>
      </c>
      <c r="Y15" s="9">
        <f t="shared" si="4"/>
        <v>4849110720.544209</v>
      </c>
      <c r="Z15" s="9">
        <f t="shared" si="5"/>
        <v>15.39430588951297</v>
      </c>
      <c r="AA15">
        <f t="shared" si="6"/>
        <v>0.024883292786460183</v>
      </c>
      <c r="AB15" s="11">
        <f t="shared" si="10"/>
        <v>1.966894051535697</v>
      </c>
    </row>
    <row r="16" spans="1:28" ht="12.75">
      <c r="A16" s="6">
        <f t="shared" si="7"/>
        <v>1982</v>
      </c>
      <c r="C16" s="8">
        <v>11085</v>
      </c>
      <c r="D16" s="8"/>
      <c r="E16" s="8"/>
      <c r="F16" s="1">
        <v>0.0024761910719400125</v>
      </c>
      <c r="H16">
        <f t="shared" si="0"/>
        <v>447663353.8346165</v>
      </c>
      <c r="I16">
        <f t="shared" si="1"/>
        <v>13.011796786589368</v>
      </c>
      <c r="K16">
        <f t="shared" si="8"/>
        <v>0.075</v>
      </c>
      <c r="Q16" s="9">
        <f t="shared" si="2"/>
        <v>4933090770.33801</v>
      </c>
      <c r="R16" s="1">
        <f t="shared" si="9"/>
        <v>0.017170391169743168</v>
      </c>
      <c r="S16" s="9">
        <f t="shared" si="3"/>
        <v>15.411476280682711</v>
      </c>
      <c r="U16" s="1">
        <v>2467832.307205157</v>
      </c>
      <c r="Y16" s="9">
        <f t="shared" si="4"/>
        <v>4933090770.33801</v>
      </c>
      <c r="Z16" s="9">
        <f t="shared" si="5"/>
        <v>15.411476280682711</v>
      </c>
      <c r="AA16">
        <f t="shared" si="6"/>
        <v>0.017170391169743168</v>
      </c>
      <c r="AB16" s="11">
        <f t="shared" si="10"/>
        <v>1.9989570425572314</v>
      </c>
    </row>
    <row r="17" spans="1:28" ht="12.75">
      <c r="A17" s="6">
        <f t="shared" si="7"/>
        <v>1983</v>
      </c>
      <c r="C17" s="8">
        <v>13400</v>
      </c>
      <c r="D17" s="8"/>
      <c r="E17" s="8"/>
      <c r="F17" s="1">
        <v>0.0032339055399536556</v>
      </c>
      <c r="H17">
        <f t="shared" si="0"/>
        <v>414359659.9977386</v>
      </c>
      <c r="I17">
        <f t="shared" si="1"/>
        <v>12.93448961962372</v>
      </c>
      <c r="K17">
        <f t="shared" si="8"/>
        <v>0.075</v>
      </c>
      <c r="Q17" s="9">
        <f t="shared" si="2"/>
        <v>4977468622.560398</v>
      </c>
      <c r="R17" s="1">
        <f t="shared" si="9"/>
        <v>0.008955730362638201</v>
      </c>
      <c r="S17" s="9">
        <f t="shared" si="3"/>
        <v>15.42043201104535</v>
      </c>
      <c r="U17" s="1">
        <v>2485228.9095721617</v>
      </c>
      <c r="Y17" s="9">
        <f t="shared" si="4"/>
        <v>4977468622.560398</v>
      </c>
      <c r="Z17" s="9">
        <f t="shared" si="5"/>
        <v>15.42043201104535</v>
      </c>
      <c r="AA17">
        <f t="shared" si="6"/>
        <v>0.008955730362638201</v>
      </c>
      <c r="AB17" s="11">
        <f t="shared" si="10"/>
        <v>2.002820988999875</v>
      </c>
    </row>
    <row r="18" spans="1:30" ht="12.75">
      <c r="A18" s="6">
        <f t="shared" si="7"/>
        <v>1984</v>
      </c>
      <c r="C18" s="8">
        <v>21277</v>
      </c>
      <c r="D18" s="8"/>
      <c r="E18" s="8"/>
      <c r="F18" s="1">
        <v>0.005213055730405293</v>
      </c>
      <c r="H18">
        <f t="shared" si="0"/>
        <v>408148331.81048316</v>
      </c>
      <c r="I18">
        <f t="shared" si="1"/>
        <v>12.919385945674</v>
      </c>
      <c r="K18">
        <f t="shared" si="8"/>
        <v>0.075</v>
      </c>
      <c r="Q18" s="9">
        <f t="shared" si="2"/>
        <v>5012306807.678851</v>
      </c>
      <c r="R18" s="1">
        <f t="shared" si="9"/>
        <v>0.006974796699888134</v>
      </c>
      <c r="S18" s="9">
        <f t="shared" si="3"/>
        <v>15.427406807745237</v>
      </c>
      <c r="U18" s="1">
        <v>2538538.21202468</v>
      </c>
      <c r="Y18" s="9">
        <f t="shared" si="4"/>
        <v>5012306807.678851</v>
      </c>
      <c r="Z18" s="9">
        <f t="shared" si="5"/>
        <v>15.427406807745237</v>
      </c>
      <c r="AA18">
        <f t="shared" si="6"/>
        <v>0.006974796699888134</v>
      </c>
      <c r="AB18" s="11">
        <f t="shared" si="10"/>
        <v>1.9744854672410663</v>
      </c>
      <c r="AD18" t="s">
        <v>253</v>
      </c>
    </row>
    <row r="19" spans="1:28" ht="12.75">
      <c r="A19" s="6">
        <f t="shared" si="7"/>
        <v>1985</v>
      </c>
      <c r="C19" s="8">
        <v>41244</v>
      </c>
      <c r="D19" s="8"/>
      <c r="E19" s="8"/>
      <c r="F19" s="1">
        <v>0.01015503256282951</v>
      </c>
      <c r="H19">
        <f t="shared" si="0"/>
        <v>406143453.9458348</v>
      </c>
      <c r="I19">
        <f t="shared" si="1"/>
        <v>12.914461711017772</v>
      </c>
      <c r="K19">
        <f t="shared" si="8"/>
        <v>0.075</v>
      </c>
      <c r="Q19" s="9">
        <f t="shared" si="2"/>
        <v>5042527251.048773</v>
      </c>
      <c r="R19" s="1">
        <f t="shared" si="9"/>
        <v>0.006011145324093091</v>
      </c>
      <c r="S19" s="9">
        <f t="shared" si="3"/>
        <v>15.43341795306933</v>
      </c>
      <c r="U19" s="1">
        <v>2566772.7118550856</v>
      </c>
      <c r="Y19" s="9">
        <f t="shared" si="4"/>
        <v>5042527251.048773</v>
      </c>
      <c r="Z19" s="9">
        <f t="shared" si="5"/>
        <v>15.43341795306933</v>
      </c>
      <c r="AA19">
        <f t="shared" si="6"/>
        <v>0.006011145324093091</v>
      </c>
      <c r="AB19" s="11">
        <f t="shared" si="10"/>
        <v>1.964539839370656</v>
      </c>
    </row>
    <row r="20" spans="1:30" ht="12.75">
      <c r="A20" s="6">
        <f t="shared" si="7"/>
        <v>1986</v>
      </c>
      <c r="C20" s="8">
        <v>96531</v>
      </c>
      <c r="D20" s="8"/>
      <c r="E20" s="8"/>
      <c r="F20" s="1">
        <v>0.018654794817917805</v>
      </c>
      <c r="H20">
        <f t="shared" si="0"/>
        <v>517459457.1647747</v>
      </c>
      <c r="I20">
        <f t="shared" si="1"/>
        <v>13.156686457409691</v>
      </c>
      <c r="K20">
        <f t="shared" si="8"/>
        <v>0.075</v>
      </c>
      <c r="Q20" s="9">
        <f t="shared" si="2"/>
        <v>5181797164.38489</v>
      </c>
      <c r="R20" s="1">
        <f t="shared" si="9"/>
        <v>0.027244543926998318</v>
      </c>
      <c r="S20" s="9">
        <f t="shared" si="3"/>
        <v>15.46066249699633</v>
      </c>
      <c r="U20" s="1">
        <v>2648888.247528468</v>
      </c>
      <c r="Y20" s="9">
        <f t="shared" si="4"/>
        <v>5181797164.38489</v>
      </c>
      <c r="Z20" s="9">
        <f t="shared" si="5"/>
        <v>15.46066249699633</v>
      </c>
      <c r="AA20">
        <f t="shared" si="6"/>
        <v>0.027244543926998318</v>
      </c>
      <c r="AB20" s="11">
        <f t="shared" si="10"/>
        <v>1.9562158461081702</v>
      </c>
      <c r="AD20" s="11">
        <v>1</v>
      </c>
    </row>
    <row r="21" spans="1:30" ht="12.75">
      <c r="A21" s="6">
        <f t="shared" si="7"/>
        <v>1987</v>
      </c>
      <c r="C21" s="8">
        <v>182999</v>
      </c>
      <c r="D21" s="8"/>
      <c r="E21" s="8"/>
      <c r="F21" s="1">
        <v>0.03850349650418235</v>
      </c>
      <c r="H21">
        <f t="shared" si="0"/>
        <v>475278913.90362996</v>
      </c>
      <c r="I21">
        <f t="shared" si="1"/>
        <v>13.071657097855386</v>
      </c>
      <c r="K21">
        <f aca="true" t="shared" si="11" ref="K21:K26">K20</f>
        <v>0.075</v>
      </c>
      <c r="M21" s="1">
        <f aca="true" t="shared" si="12" ref="M21:M26">M48/100</f>
        <v>-0.04438011571263721</v>
      </c>
      <c r="Q21" s="9">
        <f aca="true" t="shared" si="13" ref="Q21:Q26">Q20*(1+M21)</f>
        <v>4951828406.630073</v>
      </c>
      <c r="R21" s="1">
        <f t="shared" si="9"/>
        <v>-0.04539505557685363</v>
      </c>
      <c r="S21" s="9">
        <f t="shared" si="3"/>
        <v>15.415267441419475</v>
      </c>
      <c r="U21" s="1">
        <v>2620067.5049737566</v>
      </c>
      <c r="Y21" s="9">
        <f aca="true" t="shared" si="14" ref="Y21:Y26">Y20*(1-2*K21)+H21</f>
        <v>4879806503.630786</v>
      </c>
      <c r="Z21" s="9">
        <f t="shared" si="5"/>
        <v>15.400616126147881</v>
      </c>
      <c r="AA21">
        <f t="shared" si="6"/>
        <v>-0.060046370848447994</v>
      </c>
      <c r="AB21" s="11">
        <f t="shared" si="10"/>
        <v>1.8624735791605733</v>
      </c>
      <c r="AD21" s="11">
        <f aca="true" t="shared" si="15" ref="AD21:AD26">AD20*(1+AA21)</f>
        <v>0.939953629151552</v>
      </c>
    </row>
    <row r="22" spans="1:30" ht="12.75">
      <c r="A22" s="6">
        <f t="shared" si="7"/>
        <v>1988</v>
      </c>
      <c r="C22" s="8">
        <v>541121</v>
      </c>
      <c r="D22" s="8"/>
      <c r="E22" s="8"/>
      <c r="F22" s="1">
        <v>0.11797471328881472</v>
      </c>
      <c r="H22">
        <f t="shared" si="0"/>
        <v>458675410.106976</v>
      </c>
      <c r="I22">
        <f t="shared" si="1"/>
        <v>13.036098071358857</v>
      </c>
      <c r="K22">
        <f t="shared" si="11"/>
        <v>0.075</v>
      </c>
      <c r="M22" s="1">
        <f t="shared" si="12"/>
        <v>-0.0394965060814853</v>
      </c>
      <c r="Q22" s="9">
        <f t="shared" si="13"/>
        <v>4756248485.853136</v>
      </c>
      <c r="R22" s="1">
        <f t="shared" si="9"/>
        <v>-0.04029765917627438</v>
      </c>
      <c r="S22" s="9">
        <f t="shared" si="3"/>
        <v>15.374969782243202</v>
      </c>
      <c r="U22" s="1">
        <v>2576270.8996792105</v>
      </c>
      <c r="Y22" s="9">
        <f t="shared" si="14"/>
        <v>4606510938.193144</v>
      </c>
      <c r="Z22" s="9">
        <f t="shared" si="5"/>
        <v>15.34298128204109</v>
      </c>
      <c r="AA22">
        <f t="shared" si="6"/>
        <v>-0.05763484410679207</v>
      </c>
      <c r="AB22" s="11">
        <f t="shared" si="10"/>
        <v>1.788053786877278</v>
      </c>
      <c r="AD22" s="11">
        <f t="shared" si="15"/>
        <v>0.8857795482677888</v>
      </c>
    </row>
    <row r="23" spans="1:30" ht="12.75">
      <c r="A23" s="6">
        <f t="shared" si="7"/>
        <v>1989</v>
      </c>
      <c r="C23" s="8">
        <v>6478784</v>
      </c>
      <c r="D23" s="8"/>
      <c r="E23" s="8"/>
      <c r="F23" s="1">
        <v>1.785311336199633</v>
      </c>
      <c r="H23">
        <f t="shared" si="0"/>
        <v>362893791.61123216</v>
      </c>
      <c r="I23">
        <f t="shared" si="1"/>
        <v>12.801865485342594</v>
      </c>
      <c r="K23">
        <f t="shared" si="11"/>
        <v>0.075</v>
      </c>
      <c r="M23" s="1">
        <f t="shared" si="12"/>
        <v>-0.04020509457571725</v>
      </c>
      <c r="Q23" s="9">
        <f t="shared" si="13"/>
        <v>4565023065.653798</v>
      </c>
      <c r="R23" s="1">
        <f t="shared" si="9"/>
        <v>-0.04103565752760886</v>
      </c>
      <c r="S23" s="9">
        <f t="shared" si="3"/>
        <v>15.333934124715594</v>
      </c>
      <c r="U23" s="1">
        <v>2530717.976109244</v>
      </c>
      <c r="Y23" s="9">
        <f t="shared" si="14"/>
        <v>4278428089.0754046</v>
      </c>
      <c r="Z23" s="9">
        <f t="shared" si="5"/>
        <v>15.269096231190622</v>
      </c>
      <c r="AA23">
        <f t="shared" si="6"/>
        <v>-0.07388505085046877</v>
      </c>
      <c r="AB23" s="11">
        <f t="shared" si="10"/>
        <v>1.6905985295339432</v>
      </c>
      <c r="AD23" s="11">
        <f t="shared" si="15"/>
        <v>0.8203336813017179</v>
      </c>
    </row>
    <row r="24" spans="1:30" ht="12.75">
      <c r="A24" s="6">
        <f t="shared" si="7"/>
        <v>1990</v>
      </c>
      <c r="C24" s="8">
        <v>35805382</v>
      </c>
      <c r="D24" s="8"/>
      <c r="E24" s="8"/>
      <c r="F24" s="1">
        <v>8.755166792723</v>
      </c>
      <c r="H24">
        <f t="shared" si="0"/>
        <v>408962876.98094153</v>
      </c>
      <c r="I24">
        <f t="shared" si="1"/>
        <v>12.921379665577746</v>
      </c>
      <c r="K24">
        <f t="shared" si="11"/>
        <v>0.075</v>
      </c>
      <c r="M24" s="1">
        <f t="shared" si="12"/>
        <v>-0.09922980906854778</v>
      </c>
      <c r="Q24" s="9">
        <f t="shared" si="13"/>
        <v>4112036698.4554553</v>
      </c>
      <c r="R24" s="1">
        <f t="shared" si="9"/>
        <v>-0.10450511391662237</v>
      </c>
      <c r="S24" s="9">
        <f t="shared" si="3"/>
        <v>15.22942901079897</v>
      </c>
      <c r="U24" s="1">
        <v>2417114.306145848</v>
      </c>
      <c r="Y24" s="9">
        <f t="shared" si="14"/>
        <v>4045626752.695035</v>
      </c>
      <c r="Z24" s="9">
        <f t="shared" si="5"/>
        <v>15.213147041514022</v>
      </c>
      <c r="AA24">
        <f t="shared" si="6"/>
        <v>-0.05594918967659901</v>
      </c>
      <c r="AB24" s="11">
        <f t="shared" si="10"/>
        <v>1.6737424218658046</v>
      </c>
      <c r="AD24" s="11">
        <f t="shared" si="15"/>
        <v>0.7744366765684654</v>
      </c>
    </row>
    <row r="25" spans="1:30" ht="12.75">
      <c r="A25" s="6">
        <f t="shared" si="7"/>
        <v>1991</v>
      </c>
      <c r="C25" s="8">
        <v>72016000</v>
      </c>
      <c r="D25" s="203">
        <v>220.4</v>
      </c>
      <c r="E25" s="10">
        <f>E26/D26*100</f>
        <v>18.93623992684622</v>
      </c>
      <c r="F25" s="1">
        <f>E25</f>
        <v>18.93623992684622</v>
      </c>
      <c r="H25">
        <f t="shared" si="0"/>
        <v>380307813.368491</v>
      </c>
      <c r="I25">
        <f t="shared" si="1"/>
        <v>12.848736238981374</v>
      </c>
      <c r="K25">
        <f t="shared" si="11"/>
        <v>0.075</v>
      </c>
      <c r="M25" s="1">
        <f t="shared" si="12"/>
        <v>-0.20327211599988004</v>
      </c>
      <c r="Q25" s="9">
        <f t="shared" si="13"/>
        <v>3276174297.691254</v>
      </c>
      <c r="R25" s="1">
        <f t="shared" si="9"/>
        <v>-0.22724208383571867</v>
      </c>
      <c r="S25" s="9">
        <f t="shared" si="3"/>
        <v>15.002186926963251</v>
      </c>
      <c r="U25" s="1">
        <v>2219570.1808593827</v>
      </c>
      <c r="Y25" s="9">
        <f t="shared" si="14"/>
        <v>3819090553.159271</v>
      </c>
      <c r="Z25" s="9">
        <f t="shared" si="5"/>
        <v>15.155522877149188</v>
      </c>
      <c r="AA25">
        <f t="shared" si="6"/>
        <v>-0.05762416436483281</v>
      </c>
      <c r="AB25" s="11">
        <f t="shared" si="10"/>
        <v>1.720644197734076</v>
      </c>
      <c r="AD25" s="11">
        <f t="shared" si="15"/>
        <v>0.7298104102277293</v>
      </c>
    </row>
    <row r="26" spans="1:30" ht="12.75">
      <c r="A26" s="6">
        <f t="shared" si="7"/>
        <v>1992</v>
      </c>
      <c r="C26" s="9">
        <v>189608000</v>
      </c>
      <c r="D26" s="10">
        <v>302.2</v>
      </c>
      <c r="E26" s="10">
        <f>E27/D27*100</f>
        <v>57.22531705892928</v>
      </c>
      <c r="F26" s="1">
        <f aca="true" t="shared" si="16" ref="F26:F36">E26</f>
        <v>57.22531705892928</v>
      </c>
      <c r="H26">
        <f t="shared" si="0"/>
        <v>331335866.26483196</v>
      </c>
      <c r="I26">
        <f t="shared" si="1"/>
        <v>12.710887841603851</v>
      </c>
      <c r="K26">
        <f t="shared" si="11"/>
        <v>0.075</v>
      </c>
      <c r="M26" s="1">
        <f t="shared" si="12"/>
        <v>-0.09621476362577061</v>
      </c>
      <c r="P26" s="9"/>
      <c r="Q26" s="9">
        <f t="shared" si="13"/>
        <v>2960957962.042065</v>
      </c>
      <c r="R26" s="1">
        <f t="shared" si="9"/>
        <v>-0.10116351719676378</v>
      </c>
      <c r="S26" s="9">
        <f t="shared" si="3"/>
        <v>14.901023409766488</v>
      </c>
      <c r="U26" s="1">
        <v>2104582.1500196997</v>
      </c>
      <c r="Y26" s="9">
        <f t="shared" si="14"/>
        <v>3577562836.450212</v>
      </c>
      <c r="Z26" s="9">
        <f t="shared" si="5"/>
        <v>15.090192354605161</v>
      </c>
      <c r="AA26">
        <f t="shared" si="6"/>
        <v>-0.06533052254402721</v>
      </c>
      <c r="AB26" s="11">
        <f t="shared" si="10"/>
        <v>1.6998922263104457</v>
      </c>
      <c r="AD26" s="11">
        <f t="shared" si="15"/>
        <v>0.6821315147694809</v>
      </c>
    </row>
    <row r="27" spans="1:28" ht="12.75">
      <c r="A27" s="6">
        <f t="shared" si="7"/>
        <v>1993</v>
      </c>
      <c r="C27" s="9">
        <v>270237000</v>
      </c>
      <c r="D27" s="10">
        <v>128.7</v>
      </c>
      <c r="E27" s="10">
        <f>E28/D28*100</f>
        <v>73.64898305484198</v>
      </c>
      <c r="F27" s="1">
        <f t="shared" si="16"/>
        <v>73.64898305484198</v>
      </c>
      <c r="H27">
        <f t="shared" si="0"/>
        <v>366925636.704</v>
      </c>
      <c r="I27">
        <f t="shared" si="1"/>
        <v>12.81291448172079</v>
      </c>
      <c r="K27">
        <v>0.075</v>
      </c>
      <c r="P27" s="9"/>
      <c r="Q27" s="9">
        <f aca="true" t="shared" si="17" ref="Q27:Q36">Q26*(1-K27)+H27</f>
        <v>3105811751.5929103</v>
      </c>
      <c r="R27" s="1">
        <f t="shared" si="9"/>
        <v>0.0477622631007146</v>
      </c>
      <c r="S27" s="9">
        <f t="shared" si="3"/>
        <v>14.948785672867203</v>
      </c>
      <c r="U27" s="1">
        <v>2164094.5580999996</v>
      </c>
      <c r="Y27" s="9">
        <f aca="true" t="shared" si="18" ref="Y27:Y36">Y26*(1-K27)+H27</f>
        <v>3676171260.4204464</v>
      </c>
      <c r="Z27" s="9">
        <f t="shared" si="5"/>
        <v>15.117382350170217</v>
      </c>
      <c r="AA27">
        <f t="shared" si="6"/>
        <v>0.02718999556505616</v>
      </c>
      <c r="AB27" s="11">
        <f t="shared" si="10"/>
        <v>1.6987110136481274</v>
      </c>
    </row>
    <row r="28" spans="1:28" ht="12.75">
      <c r="A28" s="6">
        <f t="shared" si="7"/>
        <v>1994</v>
      </c>
      <c r="C28" s="9">
        <v>372663000</v>
      </c>
      <c r="D28" s="10">
        <v>120.8</v>
      </c>
      <c r="E28" s="10">
        <f>E29/D29*100</f>
        <v>88.9679715302491</v>
      </c>
      <c r="F28" s="1">
        <f t="shared" si="16"/>
        <v>88.9679715302491</v>
      </c>
      <c r="H28">
        <f t="shared" si="0"/>
        <v>418873212.00000006</v>
      </c>
      <c r="I28">
        <f t="shared" si="1"/>
        <v>12.945323556453957</v>
      </c>
      <c r="K28">
        <f t="shared" si="8"/>
        <v>0.075</v>
      </c>
      <c r="P28" s="9"/>
      <c r="Q28" s="9">
        <f t="shared" si="17"/>
        <v>3291749082.223442</v>
      </c>
      <c r="R28" s="1">
        <f t="shared" si="9"/>
        <v>0.058143944540212336</v>
      </c>
      <c r="S28" s="9">
        <f t="shared" si="3"/>
        <v>15.006929617407415</v>
      </c>
      <c r="U28" s="1">
        <v>2279186.31</v>
      </c>
      <c r="Y28" s="9">
        <f t="shared" si="18"/>
        <v>3819331627.888913</v>
      </c>
      <c r="Z28" s="9">
        <f t="shared" si="5"/>
        <v>15.155585998753104</v>
      </c>
      <c r="AA28">
        <f t="shared" si="6"/>
        <v>0.03820364858288559</v>
      </c>
      <c r="AB28" s="11">
        <f t="shared" si="10"/>
        <v>1.6757434928120962</v>
      </c>
    </row>
    <row r="29" spans="1:28" ht="12.75">
      <c r="A29" s="6">
        <f t="shared" si="7"/>
        <v>1995</v>
      </c>
      <c r="C29" s="9">
        <v>489473000</v>
      </c>
      <c r="D29" s="10">
        <v>112.4</v>
      </c>
      <c r="E29" s="10">
        <v>100</v>
      </c>
      <c r="F29" s="1">
        <f t="shared" si="16"/>
        <v>100</v>
      </c>
      <c r="H29">
        <f t="shared" si="0"/>
        <v>489473000</v>
      </c>
      <c r="I29">
        <f t="shared" si="1"/>
        <v>13.101084581106605</v>
      </c>
      <c r="K29">
        <f t="shared" si="8"/>
        <v>0.075</v>
      </c>
      <c r="P29" s="9"/>
      <c r="Q29" s="9">
        <f t="shared" si="17"/>
        <v>3534340901.056684</v>
      </c>
      <c r="R29" s="1">
        <f t="shared" si="9"/>
        <v>0.07110777303261308</v>
      </c>
      <c r="S29" s="9">
        <f t="shared" si="3"/>
        <v>15.078037390440027</v>
      </c>
      <c r="U29" s="1">
        <v>2372657</v>
      </c>
      <c r="Y29" s="9">
        <f t="shared" si="18"/>
        <v>4022354755.797245</v>
      </c>
      <c r="Z29" s="9">
        <f t="shared" si="5"/>
        <v>15.207378049253261</v>
      </c>
      <c r="AA29">
        <f t="shared" si="6"/>
        <v>0.05179205050015787</v>
      </c>
      <c r="AB29" s="11">
        <f t="shared" si="10"/>
        <v>1.6952955087049013</v>
      </c>
    </row>
    <row r="30" spans="1:28" ht="12.75">
      <c r="A30" s="6">
        <f t="shared" si="7"/>
        <v>1996</v>
      </c>
      <c r="C30" s="9">
        <v>591606000</v>
      </c>
      <c r="D30" s="10">
        <v>108.6</v>
      </c>
      <c r="E30" s="10">
        <f>E29*D30/100</f>
        <v>108.6</v>
      </c>
      <c r="F30" s="1">
        <f t="shared" si="16"/>
        <v>108.6</v>
      </c>
      <c r="H30">
        <f t="shared" si="0"/>
        <v>544756906.0773481</v>
      </c>
      <c r="I30">
        <f t="shared" si="1"/>
        <v>13.208094930243439</v>
      </c>
      <c r="K30">
        <f t="shared" si="8"/>
        <v>0.075</v>
      </c>
      <c r="P30" s="9"/>
      <c r="Q30" s="9">
        <f t="shared" si="17"/>
        <v>3814022239.554781</v>
      </c>
      <c r="R30" s="1">
        <f t="shared" si="9"/>
        <v>0.07615750571714087</v>
      </c>
      <c r="S30" s="9">
        <f t="shared" si="3"/>
        <v>15.154194896157168</v>
      </c>
      <c r="U30" s="1">
        <v>2460053.201082056</v>
      </c>
      <c r="Y30" s="9">
        <f t="shared" si="18"/>
        <v>4265435055.1898003</v>
      </c>
      <c r="Z30" s="9">
        <f t="shared" si="5"/>
        <v>15.266054739611834</v>
      </c>
      <c r="AA30">
        <f t="shared" si="6"/>
        <v>0.05867669035857306</v>
      </c>
      <c r="AB30" s="11">
        <f t="shared" si="10"/>
        <v>1.7338791914392933</v>
      </c>
    </row>
    <row r="31" spans="1:28" ht="12.75">
      <c r="A31" s="6">
        <f t="shared" si="7"/>
        <v>1997</v>
      </c>
      <c r="C31" s="9">
        <v>709697000</v>
      </c>
      <c r="D31" s="10">
        <v>105.7</v>
      </c>
      <c r="E31" s="10">
        <f aca="true" t="shared" si="19" ref="E31:E36">E30*D31/100</f>
        <v>114.7902</v>
      </c>
      <c r="F31" s="1">
        <f t="shared" si="16"/>
        <v>114.7902</v>
      </c>
      <c r="H31">
        <f t="shared" si="0"/>
        <v>618255739.6014642</v>
      </c>
      <c r="I31">
        <f t="shared" si="1"/>
        <v>13.334657468966068</v>
      </c>
      <c r="K31">
        <f t="shared" si="8"/>
        <v>0.075</v>
      </c>
      <c r="P31" s="9"/>
      <c r="Q31" s="9">
        <f t="shared" si="17"/>
        <v>4146226311.1896367</v>
      </c>
      <c r="R31" s="1">
        <f t="shared" si="9"/>
        <v>0.08351425976020464</v>
      </c>
      <c r="S31" s="9">
        <f t="shared" si="3"/>
        <v>15.237709155917374</v>
      </c>
      <c r="U31" s="1">
        <v>2577569.717021164</v>
      </c>
      <c r="Y31" s="9">
        <f t="shared" si="18"/>
        <v>4563783165.652029</v>
      </c>
      <c r="Z31" s="9">
        <f t="shared" si="5"/>
        <v>15.333662479118573</v>
      </c>
      <c r="AA31">
        <f t="shared" si="6"/>
        <v>0.06760773950673801</v>
      </c>
      <c r="AB31" s="11">
        <f t="shared" si="10"/>
        <v>1.770576033507363</v>
      </c>
    </row>
    <row r="32" spans="1:28" ht="12.75">
      <c r="A32" s="6">
        <f t="shared" si="7"/>
        <v>1998</v>
      </c>
      <c r="C32" s="9">
        <v>823189000</v>
      </c>
      <c r="D32" s="10">
        <v>105.5</v>
      </c>
      <c r="E32" s="10">
        <f t="shared" si="19"/>
        <v>121.10366099999999</v>
      </c>
      <c r="F32" s="1">
        <f t="shared" si="16"/>
        <v>121.10366099999999</v>
      </c>
      <c r="H32">
        <f t="shared" si="0"/>
        <v>679739153.3852971</v>
      </c>
      <c r="I32">
        <f t="shared" si="1"/>
        <v>13.429464405596972</v>
      </c>
      <c r="K32">
        <f t="shared" si="8"/>
        <v>0.075</v>
      </c>
      <c r="P32" s="9"/>
      <c r="Q32" s="9">
        <f t="shared" si="17"/>
        <v>4514998491.235711</v>
      </c>
      <c r="R32" s="1">
        <f t="shared" si="9"/>
        <v>0.08520625474873066</v>
      </c>
      <c r="S32" s="9">
        <f t="shared" si="3"/>
        <v>15.322915410666104</v>
      </c>
      <c r="U32" s="1">
        <v>2668803.591600994</v>
      </c>
      <c r="Y32" s="9">
        <f t="shared" si="18"/>
        <v>4901238581.613424</v>
      </c>
      <c r="Z32" s="9">
        <f t="shared" si="5"/>
        <v>15.404998502897298</v>
      </c>
      <c r="AA32">
        <f t="shared" si="6"/>
        <v>0.07133602377872611</v>
      </c>
      <c r="AB32" s="11">
        <f t="shared" si="10"/>
        <v>1.8364928003837142</v>
      </c>
    </row>
    <row r="33" spans="1:28" ht="12.75">
      <c r="A33" s="6">
        <f t="shared" si="7"/>
        <v>1999</v>
      </c>
      <c r="C33" s="9">
        <v>1019465000</v>
      </c>
      <c r="D33" s="10">
        <v>102.3</v>
      </c>
      <c r="E33" s="10">
        <f t="shared" si="19"/>
        <v>123.88904520299998</v>
      </c>
      <c r="F33" s="1">
        <f t="shared" si="16"/>
        <v>123.88904520299998</v>
      </c>
      <c r="H33">
        <f t="shared" si="0"/>
        <v>822885508.827308</v>
      </c>
      <c r="I33">
        <f t="shared" si="1"/>
        <v>13.620572355555783</v>
      </c>
      <c r="K33">
        <f t="shared" si="8"/>
        <v>0.075</v>
      </c>
      <c r="P33" s="9"/>
      <c r="Q33" s="9">
        <f t="shared" si="17"/>
        <v>4999259113.220341</v>
      </c>
      <c r="R33" s="1">
        <f t="shared" si="9"/>
        <v>0.10188487139698958</v>
      </c>
      <c r="S33" s="9">
        <f t="shared" si="3"/>
        <v>15.424800282063094</v>
      </c>
      <c r="U33" s="1">
        <v>2818198.9676663172</v>
      </c>
      <c r="Y33" s="9">
        <f t="shared" si="18"/>
        <v>5356531196.819725</v>
      </c>
      <c r="Z33" s="9">
        <f t="shared" si="5"/>
        <v>15.493827158773032</v>
      </c>
      <c r="AA33">
        <f t="shared" si="6"/>
        <v>0.08882865587573266</v>
      </c>
      <c r="AB33" s="11">
        <f t="shared" si="10"/>
        <v>1.900693051937117</v>
      </c>
    </row>
    <row r="34" spans="1:28" ht="12.75">
      <c r="A34" s="6">
        <f t="shared" si="7"/>
        <v>2000</v>
      </c>
      <c r="C34" s="9">
        <v>1066779000</v>
      </c>
      <c r="D34" s="10">
        <v>104</v>
      </c>
      <c r="E34" s="10">
        <f t="shared" si="19"/>
        <v>128.84460701112</v>
      </c>
      <c r="F34" s="1">
        <f t="shared" si="16"/>
        <v>128.84460701112</v>
      </c>
      <c r="H34">
        <f t="shared" si="0"/>
        <v>827957820.4681327</v>
      </c>
      <c r="I34">
        <f t="shared" si="1"/>
        <v>13.626717490606229</v>
      </c>
      <c r="K34">
        <f t="shared" si="8"/>
        <v>0.075</v>
      </c>
      <c r="P34" s="9"/>
      <c r="Q34" s="9">
        <f t="shared" si="17"/>
        <v>5452272500.196948</v>
      </c>
      <c r="R34" s="1">
        <f t="shared" si="9"/>
        <v>0.08674277018065445</v>
      </c>
      <c r="S34" s="9">
        <f t="shared" si="3"/>
        <v>15.511543052243749</v>
      </c>
      <c r="U34" s="1">
        <v>2928821.050097774</v>
      </c>
      <c r="Y34" s="9">
        <f t="shared" si="18"/>
        <v>5782749177.526379</v>
      </c>
      <c r="Z34" s="9">
        <f t="shared" si="5"/>
        <v>15.570389763819733</v>
      </c>
      <c r="AA34">
        <f t="shared" si="6"/>
        <v>0.07656260504670113</v>
      </c>
      <c r="AB34" s="11">
        <f t="shared" si="10"/>
        <v>1.974428986480185</v>
      </c>
    </row>
    <row r="35" spans="1:28" ht="12.75">
      <c r="A35" s="6">
        <f t="shared" si="7"/>
        <v>2001</v>
      </c>
      <c r="C35" s="9">
        <v>1164431000</v>
      </c>
      <c r="D35" s="10">
        <v>104.8</v>
      </c>
      <c r="E35" s="10">
        <f t="shared" si="19"/>
        <v>135.02914814765373</v>
      </c>
      <c r="F35" s="1">
        <f t="shared" si="16"/>
        <v>135.02914814765373</v>
      </c>
      <c r="H35">
        <f t="shared" si="0"/>
        <v>862355288.4497948</v>
      </c>
      <c r="I35">
        <f t="shared" si="1"/>
        <v>13.667422632303277</v>
      </c>
      <c r="K35">
        <f t="shared" si="8"/>
        <v>0.075</v>
      </c>
      <c r="P35" s="9"/>
      <c r="Q35" s="9">
        <f t="shared" si="17"/>
        <v>5905707351.131972</v>
      </c>
      <c r="R35" s="1">
        <f t="shared" si="9"/>
        <v>0.0798867367024659</v>
      </c>
      <c r="S35" s="9">
        <f t="shared" si="3"/>
        <v>15.591429788946215</v>
      </c>
      <c r="U35" s="1">
        <v>3006181.355828385</v>
      </c>
      <c r="Y35" s="9">
        <f t="shared" si="18"/>
        <v>6211398277.6616955</v>
      </c>
      <c r="Z35" s="9">
        <f t="shared" si="5"/>
        <v>15.641896594048694</v>
      </c>
      <c r="AA35">
        <f t="shared" si="6"/>
        <v>0.0715068302289611</v>
      </c>
      <c r="AB35" s="11">
        <f t="shared" si="10"/>
        <v>2.0662087686822472</v>
      </c>
    </row>
    <row r="36" spans="1:28" ht="12.75">
      <c r="A36" s="6">
        <f t="shared" si="7"/>
        <v>2002</v>
      </c>
      <c r="C36" s="9">
        <v>1239153000</v>
      </c>
      <c r="D36" s="10">
        <v>103.2</v>
      </c>
      <c r="E36" s="10">
        <f t="shared" si="19"/>
        <v>139.35008088837864</v>
      </c>
      <c r="F36" s="1">
        <f t="shared" si="16"/>
        <v>139.35008088837864</v>
      </c>
      <c r="H36">
        <f t="shared" si="0"/>
        <v>889237374.0296417</v>
      </c>
      <c r="I36">
        <f t="shared" si="1"/>
        <v>13.69811949126137</v>
      </c>
      <c r="K36">
        <f t="shared" si="8"/>
        <v>0.075</v>
      </c>
      <c r="P36" s="9"/>
      <c r="Q36" s="9">
        <f t="shared" si="17"/>
        <v>6352016673.826716</v>
      </c>
      <c r="R36" s="1">
        <f t="shared" si="9"/>
        <v>0.07285311793216924</v>
      </c>
      <c r="S36" s="9">
        <f t="shared" si="3"/>
        <v>15.664282906878384</v>
      </c>
      <c r="U36" s="1">
        <v>3106567.710168912</v>
      </c>
      <c r="Y36" s="9">
        <f t="shared" si="18"/>
        <v>6634780780.866711</v>
      </c>
      <c r="Z36" s="9">
        <f t="shared" si="5"/>
        <v>15.707836185393532</v>
      </c>
      <c r="AA36">
        <f t="shared" si="6"/>
        <v>0.0659395913448384</v>
      </c>
      <c r="AB36" s="11">
        <f t="shared" si="10"/>
        <v>2.1357270788428946</v>
      </c>
    </row>
    <row r="37" ht="12.75">
      <c r="A37" s="6"/>
    </row>
    <row r="38" spans="1:28" ht="12.75">
      <c r="A38" t="s">
        <v>482</v>
      </c>
      <c r="W38" t="s">
        <v>95</v>
      </c>
      <c r="Y38" s="1">
        <f>EXP(1/10*LN(Y36/Y26))-1</f>
        <v>0.06371168672692828</v>
      </c>
      <c r="AB38" s="1">
        <f>EXP(1/10*LN(AB36/AB26))-1</f>
        <v>0.023086694575355837</v>
      </c>
    </row>
    <row r="39" spans="23:28" ht="12.75">
      <c r="W39" t="s">
        <v>99</v>
      </c>
      <c r="Y39" s="1">
        <f>EXP(1/9*LN(Y36/Y27))-1</f>
        <v>0.06780589919221636</v>
      </c>
      <c r="AB39" s="1">
        <f>EXP(1/9*LN(AB36/AB27))-1</f>
        <v>0.025763783163621268</v>
      </c>
    </row>
    <row r="40" spans="23:28" ht="12.75">
      <c r="W40" t="s">
        <v>96</v>
      </c>
      <c r="Y40" s="1">
        <f>EXP(1/8*LN(Y34/Y26))-1</f>
        <v>0.061862748908477094</v>
      </c>
      <c r="AB40" s="1">
        <f>EXP(1/8*LN(AB34/AB26))-1</f>
        <v>0.018890507848362992</v>
      </c>
    </row>
    <row r="41" spans="1:28" ht="12.75">
      <c r="A41" t="s">
        <v>9</v>
      </c>
      <c r="W41" t="s">
        <v>97</v>
      </c>
      <c r="Y41" s="1">
        <f>EXP(1/5*LN(Y34/Y29))-1</f>
        <v>0.0753028500852988</v>
      </c>
      <c r="AB41" s="1">
        <f>EXP(1/5*LN(AB34/AB29))-1</f>
        <v>0.030953841833389006</v>
      </c>
    </row>
    <row r="43" ht="12.75">
      <c r="A43" t="s">
        <v>254</v>
      </c>
    </row>
    <row r="45" spans="3:14" ht="12.75">
      <c r="C45" t="s">
        <v>28</v>
      </c>
      <c r="F45" t="s">
        <v>29</v>
      </c>
      <c r="G45" t="s">
        <v>30</v>
      </c>
      <c r="J45" t="s">
        <v>26</v>
      </c>
      <c r="K45" t="s">
        <v>27</v>
      </c>
      <c r="M45" t="s">
        <v>31</v>
      </c>
      <c r="N45" t="s">
        <v>32</v>
      </c>
    </row>
    <row r="47" spans="1:14" ht="12.75">
      <c r="A47">
        <v>1986</v>
      </c>
      <c r="J47" s="1">
        <f>J48</f>
        <v>0.6436503445881826</v>
      </c>
      <c r="K47" s="1">
        <f>K48</f>
        <v>0.3563496554118174</v>
      </c>
      <c r="N47" s="1">
        <v>1</v>
      </c>
    </row>
    <row r="48" spans="1:14" ht="12.75">
      <c r="A48">
        <v>1987</v>
      </c>
      <c r="C48" s="1">
        <v>-1.0999999999999943</v>
      </c>
      <c r="D48" s="1"/>
      <c r="E48" s="1"/>
      <c r="F48" s="1">
        <v>0.7480519480519376</v>
      </c>
      <c r="G48">
        <v>0</v>
      </c>
      <c r="J48" s="1">
        <v>0.6436503445881826</v>
      </c>
      <c r="K48" s="1">
        <v>0.3563496554118174</v>
      </c>
      <c r="M48" s="11">
        <f aca="true" t="shared" si="20" ref="M48:M53">(2/(K48+K47))*(C48-(J48+J47)/2*F48-G48)</f>
        <v>-4.438011571263721</v>
      </c>
      <c r="N48" s="1">
        <f aca="true" t="shared" si="21" ref="N48:N53">N47*(1+M48/100)</f>
        <v>0.9556198842873628</v>
      </c>
    </row>
    <row r="49" spans="1:14" ht="12.75">
      <c r="A49">
        <v>1988</v>
      </c>
      <c r="C49" s="1">
        <v>-1.7</v>
      </c>
      <c r="D49" s="1"/>
      <c r="E49" s="1"/>
      <c r="F49" s="1">
        <v>-0.43312364648861035</v>
      </c>
      <c r="G49">
        <v>0</v>
      </c>
      <c r="J49" s="1">
        <v>0.63582263126332</v>
      </c>
      <c r="K49" s="1">
        <v>0.36417736873668005</v>
      </c>
      <c r="M49" s="11">
        <f t="shared" si="20"/>
        <v>-3.94965060814853</v>
      </c>
      <c r="N49" s="1">
        <f t="shared" si="21"/>
        <v>0.9178762377160187</v>
      </c>
    </row>
    <row r="50" spans="1:14" ht="12.75">
      <c r="A50">
        <v>1989</v>
      </c>
      <c r="C50" s="1">
        <v>-1.8</v>
      </c>
      <c r="D50" s="1"/>
      <c r="E50" s="1"/>
      <c r="F50" s="1">
        <v>-1.0150181253236639</v>
      </c>
      <c r="G50">
        <v>0</v>
      </c>
      <c r="J50" s="1">
        <v>0.8418122790398938</v>
      </c>
      <c r="K50" s="1">
        <v>0.15818772096010625</v>
      </c>
      <c r="M50" s="11">
        <f t="shared" si="20"/>
        <v>-4.020509457571725</v>
      </c>
      <c r="N50" s="1">
        <f t="shared" si="21"/>
        <v>0.8809729367698426</v>
      </c>
    </row>
    <row r="51" spans="1:14" ht="12.75">
      <c r="A51">
        <v>1990</v>
      </c>
      <c r="C51" s="1">
        <v>-4.699970939501824</v>
      </c>
      <c r="D51" s="1"/>
      <c r="E51" s="1"/>
      <c r="F51" s="1">
        <v>-3.3169404624882333</v>
      </c>
      <c r="G51">
        <v>0</v>
      </c>
      <c r="J51" s="1">
        <v>0.7394707940321149</v>
      </c>
      <c r="K51" s="1">
        <v>0.2605292059678851</v>
      </c>
      <c r="M51" s="11">
        <f t="shared" si="20"/>
        <v>-9.922980906854779</v>
      </c>
      <c r="N51" s="1">
        <f t="shared" si="21"/>
        <v>0.7935541604596134</v>
      </c>
    </row>
    <row r="52" spans="1:14" ht="12.75">
      <c r="A52">
        <v>1991</v>
      </c>
      <c r="C52" s="1">
        <v>-8.90010719147341</v>
      </c>
      <c r="D52" s="1"/>
      <c r="E52" s="1"/>
      <c r="F52" s="1">
        <v>-5.46536796536796</v>
      </c>
      <c r="G52">
        <v>0</v>
      </c>
      <c r="J52" s="1">
        <v>0.7983067104890107</v>
      </c>
      <c r="K52" s="1">
        <v>0.2016932895109893</v>
      </c>
      <c r="M52" s="11">
        <f t="shared" si="20"/>
        <v>-20.327211599988004</v>
      </c>
      <c r="N52" s="1">
        <f t="shared" si="21"/>
        <v>0.6322467271024794</v>
      </c>
    </row>
    <row r="53" spans="1:14" ht="12.75">
      <c r="A53">
        <v>1992</v>
      </c>
      <c r="C53" s="1">
        <v>-5.4636988553099</v>
      </c>
      <c r="D53" s="1"/>
      <c r="E53" s="1"/>
      <c r="F53" s="1">
        <v>-4.464796794504863</v>
      </c>
      <c r="G53">
        <v>0</v>
      </c>
      <c r="J53" s="1">
        <v>0.8142726450366725</v>
      </c>
      <c r="K53" s="1">
        <v>0.18572735496332748</v>
      </c>
      <c r="M53" s="11">
        <f t="shared" si="20"/>
        <v>-9.621476362577061</v>
      </c>
      <c r="N53" s="1">
        <f t="shared" si="21"/>
        <v>0.5714152577011472</v>
      </c>
    </row>
    <row r="55" spans="12:14" ht="12.75">
      <c r="L55" t="s">
        <v>94</v>
      </c>
      <c r="N55" s="1">
        <f>N47-N53</f>
        <v>0.4285847422988528</v>
      </c>
    </row>
    <row r="58" ht="12.75">
      <c r="A58" t="s">
        <v>255</v>
      </c>
    </row>
    <row r="60" spans="3:14" ht="12.75">
      <c r="C60" t="s">
        <v>28</v>
      </c>
      <c r="F60" t="s">
        <v>29</v>
      </c>
      <c r="G60" t="s">
        <v>30</v>
      </c>
      <c r="J60" t="s">
        <v>26</v>
      </c>
      <c r="K60" t="s">
        <v>27</v>
      </c>
      <c r="M60" t="s">
        <v>31</v>
      </c>
      <c r="N60" t="s">
        <v>32</v>
      </c>
    </row>
    <row r="62" spans="1:14" ht="12.75">
      <c r="A62">
        <v>1986</v>
      </c>
      <c r="J62" s="1">
        <v>0.7</v>
      </c>
      <c r="K62" s="1">
        <f>1-J62</f>
        <v>0.30000000000000004</v>
      </c>
      <c r="N62" s="1">
        <v>1</v>
      </c>
    </row>
    <row r="63" spans="1:14" ht="12.75">
      <c r="A63">
        <v>1987</v>
      </c>
      <c r="C63" s="1">
        <v>-1.0999999999999943</v>
      </c>
      <c r="D63" s="1"/>
      <c r="E63" s="1"/>
      <c r="F63" s="1">
        <v>0.7480519480519376</v>
      </c>
      <c r="G63">
        <v>0</v>
      </c>
      <c r="J63" s="1">
        <f aca="true" t="shared" si="22" ref="J63:J68">J62</f>
        <v>0.7</v>
      </c>
      <c r="K63" s="1">
        <f aca="true" t="shared" si="23" ref="K63:K68">1-J63</f>
        <v>0.30000000000000004</v>
      </c>
      <c r="M63" s="11">
        <f aca="true" t="shared" si="24" ref="M63:M68">(2/(K63+K62))*(C63-(J63+J62)/2*F63-G63)</f>
        <v>-5.412121212121169</v>
      </c>
      <c r="N63" s="1">
        <f aca="true" t="shared" si="25" ref="N63:N68">N62*(1+M63/100)</f>
        <v>0.9458787878787883</v>
      </c>
    </row>
    <row r="64" spans="1:14" ht="12.75">
      <c r="A64">
        <v>1988</v>
      </c>
      <c r="C64" s="1">
        <v>-1.7</v>
      </c>
      <c r="D64" s="1"/>
      <c r="E64" s="1"/>
      <c r="F64" s="1">
        <v>-0.43312364648861035</v>
      </c>
      <c r="G64">
        <v>0</v>
      </c>
      <c r="J64" s="1">
        <f t="shared" si="22"/>
        <v>0.7</v>
      </c>
      <c r="K64" s="1">
        <f t="shared" si="23"/>
        <v>0.30000000000000004</v>
      </c>
      <c r="M64" s="11">
        <f t="shared" si="24"/>
        <v>-4.656044824859909</v>
      </c>
      <c r="N64" s="1">
        <f t="shared" si="25"/>
        <v>0.9018382475263104</v>
      </c>
    </row>
    <row r="65" spans="1:14" ht="12.75">
      <c r="A65">
        <v>1989</v>
      </c>
      <c r="C65" s="1">
        <v>-1.8</v>
      </c>
      <c r="D65" s="1"/>
      <c r="E65" s="1"/>
      <c r="F65" s="1">
        <v>-1.0150181253236639</v>
      </c>
      <c r="G65">
        <v>0</v>
      </c>
      <c r="J65" s="1">
        <f t="shared" si="22"/>
        <v>0.7</v>
      </c>
      <c r="K65" s="1">
        <f t="shared" si="23"/>
        <v>0.30000000000000004</v>
      </c>
      <c r="M65" s="11">
        <f t="shared" si="24"/>
        <v>-3.6316243742447845</v>
      </c>
      <c r="N65" s="1">
        <f t="shared" si="25"/>
        <v>0.8690868699128829</v>
      </c>
    </row>
    <row r="66" spans="1:14" ht="12.75">
      <c r="A66">
        <v>1990</v>
      </c>
      <c r="C66" s="1">
        <v>-4.699970939501824</v>
      </c>
      <c r="D66" s="1"/>
      <c r="E66" s="1"/>
      <c r="F66" s="1">
        <v>-3.3169404624882333</v>
      </c>
      <c r="G66">
        <v>0</v>
      </c>
      <c r="J66" s="1">
        <f t="shared" si="22"/>
        <v>0.7</v>
      </c>
      <c r="K66" s="1">
        <f t="shared" si="23"/>
        <v>0.30000000000000004</v>
      </c>
      <c r="M66" s="11">
        <f t="shared" si="24"/>
        <v>-7.927042052533538</v>
      </c>
      <c r="N66" s="1">
        <f t="shared" si="25"/>
        <v>0.8001939882618412</v>
      </c>
    </row>
    <row r="67" spans="1:14" ht="12.75">
      <c r="A67">
        <v>1991</v>
      </c>
      <c r="C67" s="1">
        <v>-8.90010719147341</v>
      </c>
      <c r="D67" s="1"/>
      <c r="E67" s="1"/>
      <c r="F67" s="1">
        <v>-5.46536796536796</v>
      </c>
      <c r="G67">
        <v>0</v>
      </c>
      <c r="J67" s="1">
        <f t="shared" si="22"/>
        <v>0.7</v>
      </c>
      <c r="K67" s="1">
        <f t="shared" si="23"/>
        <v>0.30000000000000004</v>
      </c>
      <c r="M67" s="11">
        <f t="shared" si="24"/>
        <v>-16.91449871905279</v>
      </c>
      <c r="N67" s="1">
        <f t="shared" si="25"/>
        <v>0.6648451863673546</v>
      </c>
    </row>
    <row r="68" spans="1:14" ht="12.75">
      <c r="A68">
        <v>1992</v>
      </c>
      <c r="C68" s="1">
        <v>-5.4636988553099</v>
      </c>
      <c r="D68" s="1"/>
      <c r="E68" s="1"/>
      <c r="F68" s="1">
        <v>-4.464796794504863</v>
      </c>
      <c r="G68">
        <v>0</v>
      </c>
      <c r="J68" s="1">
        <f t="shared" si="22"/>
        <v>0.7</v>
      </c>
      <c r="K68" s="1">
        <f t="shared" si="23"/>
        <v>0.30000000000000004</v>
      </c>
      <c r="M68" s="11">
        <f t="shared" si="24"/>
        <v>-7.794470330521653</v>
      </c>
      <c r="N68" s="1">
        <f t="shared" si="25"/>
        <v>0.6130240255720497</v>
      </c>
    </row>
    <row r="70" spans="12:14" ht="12.75">
      <c r="L70" t="s">
        <v>94</v>
      </c>
      <c r="N70" s="1">
        <f>N62-N68</f>
        <v>0.3869759744279503</v>
      </c>
    </row>
    <row r="72" ht="12.75">
      <c r="A72" t="s">
        <v>256</v>
      </c>
    </row>
    <row r="74" spans="3:14" ht="12.75">
      <c r="C74" t="s">
        <v>28</v>
      </c>
      <c r="F74" t="s">
        <v>29</v>
      </c>
      <c r="G74" t="s">
        <v>30</v>
      </c>
      <c r="J74" t="s">
        <v>26</v>
      </c>
      <c r="K74" t="s">
        <v>27</v>
      </c>
      <c r="M74" t="s">
        <v>31</v>
      </c>
      <c r="N74" t="s">
        <v>32</v>
      </c>
    </row>
    <row r="76" spans="1:14" ht="12.75">
      <c r="A76">
        <v>1986</v>
      </c>
      <c r="J76" s="1">
        <v>0.7</v>
      </c>
      <c r="K76" s="1">
        <f>1-J76</f>
        <v>0.30000000000000004</v>
      </c>
      <c r="N76" s="1">
        <v>1</v>
      </c>
    </row>
    <row r="77" spans="1:14" ht="12.75">
      <c r="A77">
        <v>1987</v>
      </c>
      <c r="C77" s="1">
        <v>-1.0999999999999943</v>
      </c>
      <c r="D77" s="1"/>
      <c r="E77" s="1"/>
      <c r="F77" s="1">
        <v>0.7480519480519376</v>
      </c>
      <c r="G77">
        <v>-0.46</v>
      </c>
      <c r="J77" s="1">
        <f aca="true" t="shared" si="26" ref="J77:J82">J76</f>
        <v>0.7</v>
      </c>
      <c r="K77" s="1">
        <f aca="true" t="shared" si="27" ref="K77:K82">1-J77</f>
        <v>0.30000000000000004</v>
      </c>
      <c r="M77" s="11">
        <f aca="true" t="shared" si="28" ref="M77:M82">(2/(K77+K76))*(C77-(J77+J76)/2*F77-G77)</f>
        <v>-3.8787878787878354</v>
      </c>
      <c r="N77" s="1">
        <f aca="true" t="shared" si="29" ref="N77:N82">N76*(1+M77/100)</f>
        <v>0.9612121212121216</v>
      </c>
    </row>
    <row r="78" spans="1:14" ht="12.75">
      <c r="A78">
        <v>1988</v>
      </c>
      <c r="C78" s="1">
        <v>-1.7</v>
      </c>
      <c r="D78" s="1"/>
      <c r="E78" s="1"/>
      <c r="F78" s="1">
        <v>-0.43312364648861035</v>
      </c>
      <c r="G78">
        <f>G77</f>
        <v>-0.46</v>
      </c>
      <c r="J78" s="1">
        <f t="shared" si="26"/>
        <v>0.7</v>
      </c>
      <c r="K78" s="1">
        <f t="shared" si="27"/>
        <v>0.30000000000000004</v>
      </c>
      <c r="M78" s="11">
        <f t="shared" si="28"/>
        <v>-3.1227114915265757</v>
      </c>
      <c r="N78" s="1">
        <f t="shared" si="29"/>
        <v>0.9311962398450844</v>
      </c>
    </row>
    <row r="79" spans="1:14" ht="12.75">
      <c r="A79">
        <v>1989</v>
      </c>
      <c r="C79" s="1">
        <v>-1.8</v>
      </c>
      <c r="D79" s="1"/>
      <c r="E79" s="1"/>
      <c r="F79" s="1">
        <v>-1.0150181253236639</v>
      </c>
      <c r="G79">
        <f>G78</f>
        <v>-0.46</v>
      </c>
      <c r="J79" s="1">
        <f t="shared" si="26"/>
        <v>0.7</v>
      </c>
      <c r="K79" s="1">
        <f t="shared" si="27"/>
        <v>0.30000000000000004</v>
      </c>
      <c r="M79" s="11">
        <f t="shared" si="28"/>
        <v>-2.0982910409114512</v>
      </c>
      <c r="N79" s="1">
        <f t="shared" si="29"/>
        <v>0.9116570325711106</v>
      </c>
    </row>
    <row r="80" spans="1:14" ht="12.75">
      <c r="A80">
        <v>1990</v>
      </c>
      <c r="C80" s="1">
        <v>-4.699970939501824</v>
      </c>
      <c r="D80" s="1"/>
      <c r="E80" s="1"/>
      <c r="F80" s="1">
        <v>-3.3169404624882333</v>
      </c>
      <c r="G80">
        <f>G79</f>
        <v>-0.46</v>
      </c>
      <c r="J80" s="1">
        <f t="shared" si="26"/>
        <v>0.7</v>
      </c>
      <c r="K80" s="1">
        <f t="shared" si="27"/>
        <v>0.30000000000000004</v>
      </c>
      <c r="M80" s="11">
        <f t="shared" si="28"/>
        <v>-6.3937087192002044</v>
      </c>
      <c r="N80" s="1">
        <f t="shared" si="29"/>
        <v>0.8533683373904096</v>
      </c>
    </row>
    <row r="81" spans="1:14" ht="12.75">
      <c r="A81">
        <v>1991</v>
      </c>
      <c r="C81" s="1">
        <v>-8.90010719147341</v>
      </c>
      <c r="D81" s="1"/>
      <c r="E81" s="1"/>
      <c r="F81" s="1">
        <v>-5.46536796536796</v>
      </c>
      <c r="G81">
        <f>G80</f>
        <v>-0.46</v>
      </c>
      <c r="J81" s="1">
        <f t="shared" si="26"/>
        <v>0.7</v>
      </c>
      <c r="K81" s="1">
        <f t="shared" si="27"/>
        <v>0.30000000000000004</v>
      </c>
      <c r="M81" s="11">
        <f t="shared" si="28"/>
        <v>-15.381165385719456</v>
      </c>
      <c r="N81" s="1">
        <f t="shared" si="29"/>
        <v>0.7221103420670263</v>
      </c>
    </row>
    <row r="82" spans="1:14" ht="12.75">
      <c r="A82">
        <v>1992</v>
      </c>
      <c r="C82" s="1">
        <v>-5.4636988553099</v>
      </c>
      <c r="D82" s="1"/>
      <c r="E82" s="1"/>
      <c r="F82" s="1">
        <v>-4.464796794504863</v>
      </c>
      <c r="G82">
        <f>G81</f>
        <v>-0.46</v>
      </c>
      <c r="J82" s="1">
        <f t="shared" si="26"/>
        <v>0.7</v>
      </c>
      <c r="K82" s="1">
        <f t="shared" si="27"/>
        <v>0.30000000000000004</v>
      </c>
      <c r="M82" s="11">
        <f t="shared" si="28"/>
        <v>-6.26113699718832</v>
      </c>
      <c r="N82" s="1">
        <f t="shared" si="29"/>
        <v>0.6768980242793445</v>
      </c>
    </row>
    <row r="84" spans="12:14" ht="12.75">
      <c r="L84" t="s">
        <v>94</v>
      </c>
      <c r="N84" s="1">
        <f>N76-N82</f>
        <v>0.32310197572065547</v>
      </c>
    </row>
  </sheetData>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E16" sqref="E16"/>
    </sheetView>
  </sheetViews>
  <sheetFormatPr defaultColWidth="9.140625" defaultRowHeight="12.75"/>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J40"/>
  <sheetViews>
    <sheetView workbookViewId="0" topLeftCell="A1">
      <pane xSplit="1" ySplit="4" topLeftCell="B5"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7.421875" style="0" customWidth="1"/>
    <col min="2" max="8" width="12.7109375" style="0" bestFit="1" customWidth="1"/>
  </cols>
  <sheetData>
    <row r="1" ht="12.75">
      <c r="A1" t="s">
        <v>512</v>
      </c>
    </row>
    <row r="3" ht="12.75">
      <c r="A3" t="s">
        <v>258</v>
      </c>
    </row>
    <row r="4" spans="2:8" ht="12.75">
      <c r="B4">
        <v>1995</v>
      </c>
      <c r="C4">
        <v>1996</v>
      </c>
      <c r="D4">
        <v>1997</v>
      </c>
      <c r="E4">
        <v>1998</v>
      </c>
      <c r="F4">
        <v>1999</v>
      </c>
      <c r="G4">
        <v>2000</v>
      </c>
      <c r="H4">
        <v>2001</v>
      </c>
    </row>
    <row r="5" spans="1:8" ht="12.75">
      <c r="A5" t="s">
        <v>172</v>
      </c>
      <c r="B5" s="2">
        <v>3796907906</v>
      </c>
      <c r="C5" s="2">
        <v>4011018701</v>
      </c>
      <c r="D5" s="2">
        <v>4836966655</v>
      </c>
      <c r="E5" s="2">
        <v>5327300856</v>
      </c>
      <c r="F5" s="2">
        <v>6019153139</v>
      </c>
      <c r="G5" s="2">
        <v>6921347291</v>
      </c>
      <c r="H5" s="2">
        <v>7791742921</v>
      </c>
    </row>
    <row r="6" spans="1:8" ht="12.75">
      <c r="A6" s="29" t="s">
        <v>173</v>
      </c>
      <c r="B6" s="2">
        <v>41921075</v>
      </c>
      <c r="C6" s="2">
        <v>62175562</v>
      </c>
      <c r="D6" s="2">
        <v>75563549</v>
      </c>
      <c r="E6" s="2">
        <v>71500921</v>
      </c>
      <c r="F6" s="2">
        <v>85540124</v>
      </c>
      <c r="G6" s="2">
        <v>108241869</v>
      </c>
      <c r="H6" s="2">
        <v>174618054</v>
      </c>
    </row>
    <row r="7" spans="1:8" ht="12.75">
      <c r="A7" s="29" t="s">
        <v>174</v>
      </c>
      <c r="B7" s="2">
        <v>3103873723</v>
      </c>
      <c r="C7" s="2">
        <v>3250008819</v>
      </c>
      <c r="D7" s="2">
        <v>4025874526</v>
      </c>
      <c r="E7" s="2">
        <v>4393137252</v>
      </c>
      <c r="F7" s="2">
        <v>4908858900</v>
      </c>
      <c r="G7" s="2">
        <v>5571529513</v>
      </c>
      <c r="H7" s="2">
        <v>5872825229</v>
      </c>
    </row>
    <row r="8" spans="1:8" ht="12.75">
      <c r="A8" s="30" t="s">
        <v>175</v>
      </c>
      <c r="B8" s="2">
        <v>2250334722</v>
      </c>
      <c r="C8" s="2">
        <v>2289713797</v>
      </c>
      <c r="D8" s="2">
        <v>2899104469</v>
      </c>
      <c r="E8" s="2">
        <v>3173373608</v>
      </c>
      <c r="F8" s="2">
        <v>3526873039</v>
      </c>
      <c r="G8" s="2">
        <v>4002385469</v>
      </c>
      <c r="H8" s="2">
        <v>4214698843</v>
      </c>
    </row>
    <row r="9" spans="1:8" ht="12.75">
      <c r="A9" s="30" t="s">
        <v>176</v>
      </c>
      <c r="B9" s="2">
        <v>853539001</v>
      </c>
      <c r="C9" s="2">
        <v>960295022</v>
      </c>
      <c r="D9" s="2">
        <v>1126770057</v>
      </c>
      <c r="E9" s="2">
        <v>1219763643</v>
      </c>
      <c r="F9" s="2">
        <v>1381985860</v>
      </c>
      <c r="G9" s="2">
        <v>1569144044</v>
      </c>
      <c r="H9" s="2">
        <v>1658126386</v>
      </c>
    </row>
    <row r="10" spans="1:8" ht="12.75">
      <c r="A10" s="29" t="s">
        <v>177</v>
      </c>
      <c r="B10" s="2">
        <v>643297628</v>
      </c>
      <c r="C10" s="2">
        <v>690077462</v>
      </c>
      <c r="D10" s="2">
        <v>713658265</v>
      </c>
      <c r="E10" s="2">
        <v>828222450</v>
      </c>
      <c r="F10" s="2">
        <v>974469008</v>
      </c>
      <c r="G10" s="2">
        <v>1188320873</v>
      </c>
      <c r="H10" s="2">
        <v>1653388686</v>
      </c>
    </row>
    <row r="11" spans="1:8" ht="12.75">
      <c r="A11" s="29" t="s">
        <v>178</v>
      </c>
      <c r="B11" s="2">
        <v>7815480</v>
      </c>
      <c r="C11" s="2">
        <v>8756858</v>
      </c>
      <c r="D11" s="2">
        <v>21870315</v>
      </c>
      <c r="E11" s="2">
        <v>34440233</v>
      </c>
      <c r="F11" s="2">
        <v>50285107</v>
      </c>
      <c r="G11" s="2">
        <v>53255036</v>
      </c>
      <c r="H11" s="2">
        <v>90910952</v>
      </c>
    </row>
    <row r="12" spans="2:8" ht="12.75">
      <c r="B12" s="2"/>
      <c r="C12" s="2"/>
      <c r="D12" s="2"/>
      <c r="E12" s="2"/>
      <c r="F12" s="2"/>
      <c r="G12" s="2"/>
      <c r="H12" s="2"/>
    </row>
    <row r="13" spans="1:8" ht="12.75">
      <c r="A13" t="s">
        <v>179</v>
      </c>
      <c r="B13" s="2">
        <v>229652605</v>
      </c>
      <c r="C13" s="2">
        <v>293875380</v>
      </c>
      <c r="D13" s="2">
        <v>330089472</v>
      </c>
      <c r="E13" s="2">
        <v>378718299</v>
      </c>
      <c r="F13" s="2">
        <v>411553592</v>
      </c>
      <c r="G13" s="2">
        <v>460264743</v>
      </c>
      <c r="H13" s="2">
        <v>885673645</v>
      </c>
    </row>
    <row r="15" spans="1:10" ht="12.75">
      <c r="A15" t="s">
        <v>180</v>
      </c>
      <c r="J15" t="s">
        <v>168</v>
      </c>
    </row>
    <row r="17" spans="1:8" ht="12.75">
      <c r="A17" t="s">
        <v>181</v>
      </c>
      <c r="B17" s="2">
        <f aca="true" t="shared" si="0" ref="B17:G17">C5-B5</f>
        <v>214110795</v>
      </c>
      <c r="C17" s="2">
        <f t="shared" si="0"/>
        <v>825947954</v>
      </c>
      <c r="D17" s="2">
        <f t="shared" si="0"/>
        <v>490334201</v>
      </c>
      <c r="E17" s="2">
        <f t="shared" si="0"/>
        <v>691852283</v>
      </c>
      <c r="F17" s="2">
        <f t="shared" si="0"/>
        <v>902194152</v>
      </c>
      <c r="G17" s="2">
        <f t="shared" si="0"/>
        <v>870395630</v>
      </c>
      <c r="H17" s="2"/>
    </row>
    <row r="18" spans="1:8" ht="12.75">
      <c r="A18" t="s">
        <v>182</v>
      </c>
      <c r="B18" s="2">
        <f aca="true" t="shared" si="1" ref="B18:H18">B13</f>
        <v>229652605</v>
      </c>
      <c r="C18" s="2">
        <f t="shared" si="1"/>
        <v>293875380</v>
      </c>
      <c r="D18" s="2">
        <f t="shared" si="1"/>
        <v>330089472</v>
      </c>
      <c r="E18" s="2">
        <f t="shared" si="1"/>
        <v>378718299</v>
      </c>
      <c r="F18" s="2">
        <f t="shared" si="1"/>
        <v>411553592</v>
      </c>
      <c r="G18" s="2">
        <f t="shared" si="1"/>
        <v>460264743</v>
      </c>
      <c r="H18" s="2">
        <f t="shared" si="1"/>
        <v>885673645</v>
      </c>
    </row>
    <row r="19" spans="1:8" ht="12.75">
      <c r="A19" t="s">
        <v>183</v>
      </c>
      <c r="B19" s="2">
        <f aca="true" t="shared" si="2" ref="B19:G19">B17+B18</f>
        <v>443763400</v>
      </c>
      <c r="C19" s="2">
        <f t="shared" si="2"/>
        <v>1119823334</v>
      </c>
      <c r="D19" s="2">
        <f t="shared" si="2"/>
        <v>820423673</v>
      </c>
      <c r="E19" s="2">
        <f t="shared" si="2"/>
        <v>1070570582</v>
      </c>
      <c r="F19" s="2">
        <f t="shared" si="2"/>
        <v>1313747744</v>
      </c>
      <c r="G19" s="2">
        <f t="shared" si="2"/>
        <v>1330660373</v>
      </c>
      <c r="H19" s="2"/>
    </row>
    <row r="21" spans="1:10" ht="12.75">
      <c r="A21" t="s">
        <v>10</v>
      </c>
      <c r="B21" s="11">
        <f aca="true" t="shared" si="3" ref="B21:H21">B18/B5</f>
        <v>0.060484112516159615</v>
      </c>
      <c r="C21" s="11">
        <f t="shared" si="3"/>
        <v>0.07326701815843766</v>
      </c>
      <c r="D21" s="11">
        <f t="shared" si="3"/>
        <v>0.06824307371620696</v>
      </c>
      <c r="E21" s="11">
        <f t="shared" si="3"/>
        <v>0.07109009031721185</v>
      </c>
      <c r="F21" s="11">
        <f t="shared" si="3"/>
        <v>0.0683740025375686</v>
      </c>
      <c r="G21" s="11">
        <f t="shared" si="3"/>
        <v>0.06649929900187117</v>
      </c>
      <c r="H21" s="11">
        <f t="shared" si="3"/>
        <v>0.11366823238135426</v>
      </c>
      <c r="J21" s="1">
        <f>AVERAGE(B21:H21)</f>
        <v>0.07451797551840145</v>
      </c>
    </row>
    <row r="22" spans="2:10" ht="12.75">
      <c r="B22" s="11"/>
      <c r="C22" s="11"/>
      <c r="D22" s="11"/>
      <c r="E22" s="11"/>
      <c r="F22" s="11"/>
      <c r="G22" s="11"/>
      <c r="H22" s="11"/>
      <c r="J22" s="11"/>
    </row>
    <row r="23" spans="3:10" ht="12.75">
      <c r="C23" s="11"/>
      <c r="D23" s="11"/>
      <c r="E23" s="11"/>
      <c r="F23" s="11"/>
      <c r="G23" s="11"/>
      <c r="H23" s="11"/>
      <c r="J23" s="11"/>
    </row>
    <row r="25" spans="2:3" ht="12.75">
      <c r="B25" s="2"/>
      <c r="C25" s="2"/>
    </row>
    <row r="31" spans="2:8" ht="12.75">
      <c r="B31" s="2"/>
      <c r="C31" s="2"/>
      <c r="D31" s="2"/>
      <c r="E31" s="2"/>
      <c r="F31" s="2"/>
      <c r="G31" s="2"/>
      <c r="H31" s="2"/>
    </row>
    <row r="37" spans="2:8" ht="12.75">
      <c r="B37" s="2"/>
      <c r="C37" s="2"/>
      <c r="D37" s="2"/>
      <c r="E37" s="2"/>
      <c r="F37" s="2"/>
      <c r="G37" s="2"/>
      <c r="H37" s="2"/>
    </row>
    <row r="40" ht="12.75">
      <c r="A40" s="12"/>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Q29"/>
  <sheetViews>
    <sheetView workbookViewId="0" topLeftCell="A1">
      <selection activeCell="A1" sqref="A1"/>
    </sheetView>
  </sheetViews>
  <sheetFormatPr defaultColWidth="9.140625" defaultRowHeight="12.75"/>
  <sheetData>
    <row r="1" ht="12.75">
      <c r="A1" t="s">
        <v>34</v>
      </c>
    </row>
    <row r="3" spans="1:17" ht="12.75">
      <c r="A3" t="s">
        <v>16</v>
      </c>
      <c r="C3" t="s">
        <v>35</v>
      </c>
      <c r="D3" t="s">
        <v>10</v>
      </c>
      <c r="E3" t="s">
        <v>36</v>
      </c>
      <c r="G3" t="s">
        <v>37</v>
      </c>
      <c r="H3" t="s">
        <v>38</v>
      </c>
      <c r="J3" s="12" t="s">
        <v>39</v>
      </c>
      <c r="K3" t="s">
        <v>40</v>
      </c>
      <c r="L3" t="s">
        <v>487</v>
      </c>
      <c r="M3" t="s">
        <v>27</v>
      </c>
      <c r="O3" t="s">
        <v>41</v>
      </c>
      <c r="Q3" t="s">
        <v>257</v>
      </c>
    </row>
    <row r="4" ht="12.75">
      <c r="E4" s="1"/>
    </row>
    <row r="5" spans="1:5" ht="12.75">
      <c r="A5">
        <v>1992</v>
      </c>
      <c r="E5" s="1">
        <v>57.22531705892928</v>
      </c>
    </row>
    <row r="6" spans="1:17" ht="12.75">
      <c r="A6">
        <f>A5+1</f>
        <v>1993</v>
      </c>
      <c r="C6">
        <v>0.496</v>
      </c>
      <c r="D6">
        <v>0.075</v>
      </c>
      <c r="E6" s="1">
        <v>73.64898305484198</v>
      </c>
      <c r="G6" s="1">
        <f>(C6-(E6-E5)/E5)*E6+D6*E6</f>
        <v>20.916311187575126</v>
      </c>
      <c r="H6">
        <v>0.6631387684186794</v>
      </c>
      <c r="I6" s="11"/>
      <c r="J6" s="1">
        <f>G6/H6</f>
        <v>31.541378944639536</v>
      </c>
      <c r="K6" s="11">
        <v>0.2867182784781923</v>
      </c>
      <c r="L6">
        <f>K6*100</f>
        <v>28.67182784781923</v>
      </c>
      <c r="M6">
        <v>0.21024219691614288</v>
      </c>
      <c r="O6" s="1">
        <f>M6/J6*100</f>
        <v>0.666559941101984</v>
      </c>
      <c r="Q6">
        <f>0.3/J6*100</f>
        <v>0.9511315295585231</v>
      </c>
    </row>
    <row r="7" spans="1:17" ht="12.75">
      <c r="A7">
        <f aca="true" t="shared" si="0" ref="A7:A15">A6+1</f>
        <v>1994</v>
      </c>
      <c r="C7">
        <v>0.394</v>
      </c>
      <c r="D7">
        <f aca="true" t="shared" si="1" ref="D7:D15">D6</f>
        <v>0.075</v>
      </c>
      <c r="E7" s="1">
        <v>88.9679715302491</v>
      </c>
      <c r="G7" s="1">
        <f aca="true" t="shared" si="2" ref="G7:G15">(C7-(E7-E6)/E6)*E7+D7*E7</f>
        <v>23.220640569395027</v>
      </c>
      <c r="H7">
        <v>0.8130081300813009</v>
      </c>
      <c r="I7" s="11"/>
      <c r="J7" s="1">
        <f aca="true" t="shared" si="3" ref="J7:J15">G7/H7</f>
        <v>28.56138790035588</v>
      </c>
      <c r="K7" s="11">
        <v>0.2482704511357261</v>
      </c>
      <c r="L7">
        <f aca="true" t="shared" si="4" ref="L7:L15">K7*100</f>
        <v>24.82704511357261</v>
      </c>
      <c r="M7">
        <v>0.23378690354652665</v>
      </c>
      <c r="O7" s="1">
        <f aca="true" t="shared" si="5" ref="O7:O15">M7/J7*100</f>
        <v>0.818541817232956</v>
      </c>
      <c r="Q7">
        <f aca="true" t="shared" si="6" ref="Q7:Q15">0.3/J7*100</f>
        <v>1.0503691243808988</v>
      </c>
    </row>
    <row r="8" spans="1:17" ht="12.75">
      <c r="A8">
        <f t="shared" si="0"/>
        <v>1995</v>
      </c>
      <c r="C8">
        <v>0.248</v>
      </c>
      <c r="D8">
        <f t="shared" si="1"/>
        <v>0.075</v>
      </c>
      <c r="E8" s="1">
        <v>100</v>
      </c>
      <c r="G8" s="1">
        <f t="shared" si="2"/>
        <v>19.899999999999988</v>
      </c>
      <c r="H8">
        <v>1</v>
      </c>
      <c r="I8" s="11"/>
      <c r="J8" s="1">
        <f t="shared" si="3"/>
        <v>19.899999999999988</v>
      </c>
      <c r="K8" s="11">
        <v>0.22699999999999998</v>
      </c>
      <c r="L8">
        <f t="shared" si="4"/>
        <v>22.7</v>
      </c>
      <c r="M8">
        <v>0.23620419139845938</v>
      </c>
      <c r="O8" s="1">
        <f t="shared" si="5"/>
        <v>1.1869557356706508</v>
      </c>
      <c r="Q8">
        <f t="shared" si="6"/>
        <v>1.5075376884422118</v>
      </c>
    </row>
    <row r="9" spans="1:17" ht="12.75">
      <c r="A9">
        <f t="shared" si="0"/>
        <v>1996</v>
      </c>
      <c r="C9">
        <v>0.237</v>
      </c>
      <c r="D9">
        <f t="shared" si="1"/>
        <v>0.075</v>
      </c>
      <c r="E9" s="1">
        <v>108.6</v>
      </c>
      <c r="G9" s="1">
        <f t="shared" si="2"/>
        <v>24.543600000000005</v>
      </c>
      <c r="H9">
        <v>1.109</v>
      </c>
      <c r="I9" s="11"/>
      <c r="J9" s="1">
        <f t="shared" si="3"/>
        <v>22.13128944995492</v>
      </c>
      <c r="K9" s="11">
        <v>0.20227616521903913</v>
      </c>
      <c r="L9">
        <f t="shared" si="4"/>
        <v>20.22761652190391</v>
      </c>
      <c r="M9">
        <v>0.2619865271361619</v>
      </c>
      <c r="O9" s="1">
        <f t="shared" si="5"/>
        <v>1.1837833838312368</v>
      </c>
      <c r="Q9">
        <f t="shared" si="6"/>
        <v>1.3555468635408006</v>
      </c>
    </row>
    <row r="10" spans="1:17" ht="12.75">
      <c r="A10">
        <f t="shared" si="0"/>
        <v>1997</v>
      </c>
      <c r="C10">
        <v>0.213</v>
      </c>
      <c r="D10">
        <f t="shared" si="1"/>
        <v>0.075</v>
      </c>
      <c r="E10" s="1">
        <v>114.7902</v>
      </c>
      <c r="G10" s="1">
        <f t="shared" si="2"/>
        <v>26.51653619999999</v>
      </c>
      <c r="H10">
        <v>1.2065919999999999</v>
      </c>
      <c r="I10" s="11"/>
      <c r="J10" s="1">
        <f t="shared" si="3"/>
        <v>21.976389865008215</v>
      </c>
      <c r="K10" s="11">
        <v>0.18953083391850056</v>
      </c>
      <c r="L10">
        <f t="shared" si="4"/>
        <v>18.953083391850058</v>
      </c>
      <c r="M10">
        <v>0.28235887130026827</v>
      </c>
      <c r="O10" s="1">
        <f t="shared" si="5"/>
        <v>1.2848282772315238</v>
      </c>
      <c r="Q10">
        <f t="shared" si="6"/>
        <v>1.3651013739871503</v>
      </c>
    </row>
    <row r="11" spans="1:17" ht="12.75">
      <c r="A11">
        <f t="shared" si="0"/>
        <v>1998</v>
      </c>
      <c r="C11">
        <v>0.173</v>
      </c>
      <c r="D11">
        <f t="shared" si="1"/>
        <v>0.075</v>
      </c>
      <c r="E11" s="1">
        <v>121.10366099999999</v>
      </c>
      <c r="G11" s="1">
        <f t="shared" si="2"/>
        <v>23.373006573000005</v>
      </c>
      <c r="H11">
        <v>1.2982929919999997</v>
      </c>
      <c r="I11" s="11"/>
      <c r="J11" s="1">
        <f t="shared" si="3"/>
        <v>18.002875096009152</v>
      </c>
      <c r="K11" s="11">
        <v>0.1555182977348224</v>
      </c>
      <c r="L11">
        <f t="shared" si="4"/>
        <v>15.55182977348224</v>
      </c>
      <c r="M11">
        <v>0.2934042689562748</v>
      </c>
      <c r="O11" s="1">
        <f t="shared" si="5"/>
        <v>1.629763398299176</v>
      </c>
      <c r="Q11">
        <f t="shared" si="6"/>
        <v>1.6664004965879227</v>
      </c>
    </row>
    <row r="12" spans="1:17" ht="12.75">
      <c r="A12">
        <f t="shared" si="0"/>
        <v>1999</v>
      </c>
      <c r="C12">
        <v>0.142</v>
      </c>
      <c r="D12">
        <f t="shared" si="1"/>
        <v>0.075</v>
      </c>
      <c r="E12" s="1">
        <v>123.88904520299998</v>
      </c>
      <c r="G12" s="1">
        <f t="shared" si="2"/>
        <v>24.034474769382</v>
      </c>
      <c r="H12">
        <v>1.3748922785279998</v>
      </c>
      <c r="I12" s="11"/>
      <c r="J12" s="1">
        <f t="shared" si="3"/>
        <v>17.48098752515653</v>
      </c>
      <c r="K12" s="11">
        <v>0.149</v>
      </c>
      <c r="L12">
        <f t="shared" si="4"/>
        <v>14.899999999999999</v>
      </c>
      <c r="M12">
        <v>0.29824356416884523</v>
      </c>
      <c r="O12" s="1">
        <f t="shared" si="5"/>
        <v>1.7061024941505682</v>
      </c>
      <c r="Q12">
        <f t="shared" si="6"/>
        <v>1.716150186414104</v>
      </c>
    </row>
    <row r="13" spans="1:17" ht="12.75">
      <c r="A13">
        <f t="shared" si="0"/>
        <v>2000</v>
      </c>
      <c r="C13">
        <v>0.177</v>
      </c>
      <c r="D13">
        <f t="shared" si="1"/>
        <v>0.075</v>
      </c>
      <c r="E13" s="1">
        <v>128.84460701112</v>
      </c>
      <c r="G13" s="1">
        <f t="shared" si="2"/>
        <v>27.315056686357423</v>
      </c>
      <c r="H13">
        <v>1.4518862461255677</v>
      </c>
      <c r="I13" s="11"/>
      <c r="J13" s="1">
        <f t="shared" si="3"/>
        <v>18.81349641492165</v>
      </c>
      <c r="K13" s="11">
        <v>0.154</v>
      </c>
      <c r="L13">
        <f t="shared" si="4"/>
        <v>15.4</v>
      </c>
      <c r="M13">
        <v>0.30165646400527757</v>
      </c>
      <c r="O13" s="1">
        <f t="shared" si="5"/>
        <v>1.6034045844132574</v>
      </c>
      <c r="Q13">
        <f t="shared" si="6"/>
        <v>1.594599926476502</v>
      </c>
    </row>
    <row r="14" spans="1:17" ht="12.75">
      <c r="A14">
        <f t="shared" si="0"/>
        <v>2001</v>
      </c>
      <c r="C14">
        <v>0.171</v>
      </c>
      <c r="D14">
        <f t="shared" si="1"/>
        <v>0.075</v>
      </c>
      <c r="E14" s="1">
        <v>135.02914814765373</v>
      </c>
      <c r="G14" s="1">
        <f t="shared" si="2"/>
        <v>26.735771333235462</v>
      </c>
      <c r="H14">
        <v>1.5840078945229943</v>
      </c>
      <c r="I14" s="11"/>
      <c r="J14" s="1">
        <f t="shared" si="3"/>
        <v>16.87855939713396</v>
      </c>
      <c r="K14" s="11">
        <v>0.153</v>
      </c>
      <c r="L14">
        <f t="shared" si="4"/>
        <v>15.299999999999999</v>
      </c>
      <c r="M14">
        <v>0.2931758777060478</v>
      </c>
      <c r="O14" s="1">
        <f t="shared" si="5"/>
        <v>1.7369721598149552</v>
      </c>
      <c r="Q14">
        <f t="shared" si="6"/>
        <v>1.7774028750992876</v>
      </c>
    </row>
    <row r="15" spans="1:17" ht="12.75">
      <c r="A15">
        <f t="shared" si="0"/>
        <v>2002</v>
      </c>
      <c r="C15">
        <v>0.156</v>
      </c>
      <c r="D15">
        <f t="shared" si="1"/>
        <v>0.075</v>
      </c>
      <c r="E15" s="1">
        <v>139.35008088837864</v>
      </c>
      <c r="G15" s="1">
        <f t="shared" si="2"/>
        <v>27.730666096787353</v>
      </c>
      <c r="H15">
        <v>1.7107285260848337</v>
      </c>
      <c r="I15" s="11"/>
      <c r="J15" s="1">
        <f t="shared" si="3"/>
        <v>16.20985777343156</v>
      </c>
      <c r="K15" s="11">
        <v>0.149</v>
      </c>
      <c r="L15">
        <f t="shared" si="4"/>
        <v>14.899999999999999</v>
      </c>
      <c r="M15">
        <v>0.29910420882129196</v>
      </c>
      <c r="O15" s="1">
        <f t="shared" si="5"/>
        <v>1.8451994644365892</v>
      </c>
      <c r="Q15">
        <f t="shared" si="6"/>
        <v>1.850725676888473</v>
      </c>
    </row>
    <row r="17" spans="1:17" ht="12.75">
      <c r="A17" t="s">
        <v>486</v>
      </c>
      <c r="M17" t="s">
        <v>260</v>
      </c>
      <c r="O17">
        <f>EXP(1/9*LN(O15/O6))-1</f>
        <v>0.11978279382432255</v>
      </c>
      <c r="Q17">
        <f>EXP(1/9*LN(Q15/Q6))-1</f>
        <v>0.07676860817207909</v>
      </c>
    </row>
    <row r="20" ht="12.75">
      <c r="H20" s="11"/>
    </row>
    <row r="21" ht="12.75">
      <c r="H21" s="11"/>
    </row>
    <row r="22" ht="12.75">
      <c r="H22" s="11"/>
    </row>
    <row r="23" ht="12.75">
      <c r="H23" s="11"/>
    </row>
    <row r="24" ht="12.75">
      <c r="H24" s="11"/>
    </row>
    <row r="25" ht="12.75">
      <c r="H25" s="11"/>
    </row>
    <row r="26" ht="12.75">
      <c r="H26" s="11"/>
    </row>
    <row r="27" ht="12.75">
      <c r="H27" s="11"/>
    </row>
    <row r="28" ht="12.75">
      <c r="H28" s="11"/>
    </row>
    <row r="29" ht="12.75">
      <c r="H29" s="11"/>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I14" sqref="I14"/>
    </sheetView>
  </sheetViews>
  <sheetFormatPr defaultColWidth="9.140625" defaultRowHeight="12.7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M37"/>
  <sheetViews>
    <sheetView workbookViewId="0" topLeftCell="A8">
      <selection activeCell="A37" sqref="A37"/>
    </sheetView>
  </sheetViews>
  <sheetFormatPr defaultColWidth="9.140625" defaultRowHeight="12.75"/>
  <cols>
    <col min="9" max="9" width="12.140625" style="0" bestFit="1" customWidth="1"/>
  </cols>
  <sheetData>
    <row r="1" ht="12.75">
      <c r="A1" t="s">
        <v>195</v>
      </c>
    </row>
    <row r="3" spans="1:13" ht="12.75">
      <c r="A3" t="s">
        <v>16</v>
      </c>
      <c r="C3" t="s">
        <v>477</v>
      </c>
      <c r="D3" t="s">
        <v>479</v>
      </c>
      <c r="E3" t="s">
        <v>480</v>
      </c>
      <c r="F3" t="s">
        <v>194</v>
      </c>
      <c r="G3" t="s">
        <v>476</v>
      </c>
      <c r="H3" t="s">
        <v>69</v>
      </c>
      <c r="I3" t="s">
        <v>68</v>
      </c>
      <c r="J3" t="s">
        <v>67</v>
      </c>
      <c r="K3" t="s">
        <v>196</v>
      </c>
      <c r="M3" t="s">
        <v>506</v>
      </c>
    </row>
    <row r="5" spans="1:11" ht="12.75">
      <c r="A5">
        <v>1980</v>
      </c>
      <c r="I5" s="1">
        <f aca="true" t="shared" si="0" ref="I5:I15">I6*(1-G6/100)</f>
        <v>2487552.7551720333</v>
      </c>
      <c r="J5" s="11">
        <f>LN(I5)</f>
        <v>14.726809955899355</v>
      </c>
      <c r="K5" s="1">
        <f>I5/2648888.248</f>
        <v>0.9390931297498939</v>
      </c>
    </row>
    <row r="6" spans="1:11" ht="12.75">
      <c r="A6">
        <f aca="true" t="shared" si="1" ref="A6:A15">A7-1</f>
        <v>1981</v>
      </c>
      <c r="G6" s="1">
        <v>-0.8999999999999915</v>
      </c>
      <c r="H6" s="1">
        <f>G6/100</f>
        <v>-0.008999999999999914</v>
      </c>
      <c r="I6" s="1">
        <f t="shared" si="0"/>
        <v>2465364.474897952</v>
      </c>
      <c r="J6" s="11">
        <f aca="true" t="shared" si="2" ref="J6:J27">LN(I6)</f>
        <v>14.717850214527884</v>
      </c>
      <c r="K6" s="1">
        <f aca="true" t="shared" si="3" ref="K6:K27">I6/2648888.248</f>
        <v>0.9307166796331952</v>
      </c>
    </row>
    <row r="7" spans="1:11" ht="12.75">
      <c r="A7">
        <f t="shared" si="1"/>
        <v>1982</v>
      </c>
      <c r="G7" s="1">
        <v>0.09999999999999432</v>
      </c>
      <c r="H7" s="1">
        <f aca="true" t="shared" si="4" ref="H7:H27">G7/100</f>
        <v>0.0009999999999999432</v>
      </c>
      <c r="I7" s="1">
        <f t="shared" si="0"/>
        <v>2467832.307205157</v>
      </c>
      <c r="J7" s="11">
        <f t="shared" si="2"/>
        <v>14.718850714861468</v>
      </c>
      <c r="K7" s="1">
        <f t="shared" si="3"/>
        <v>0.9316483279611563</v>
      </c>
    </row>
    <row r="8" spans="1:11" ht="12.75">
      <c r="A8">
        <f t="shared" si="1"/>
        <v>1983</v>
      </c>
      <c r="G8" s="1">
        <v>0.6999999999999886</v>
      </c>
      <c r="H8" s="1">
        <f t="shared" si="4"/>
        <v>0.0069999999999998865</v>
      </c>
      <c r="I8" s="1">
        <f t="shared" si="0"/>
        <v>2485228.9095721617</v>
      </c>
      <c r="J8" s="11">
        <f t="shared" si="2"/>
        <v>14.725875329798432</v>
      </c>
      <c r="K8" s="1">
        <f t="shared" si="3"/>
        <v>0.9382158388329871</v>
      </c>
    </row>
    <row r="9" spans="1:11" ht="12.75">
      <c r="A9">
        <f t="shared" si="1"/>
        <v>1984</v>
      </c>
      <c r="G9" s="1">
        <v>2.0999999999999943</v>
      </c>
      <c r="H9" s="1">
        <f t="shared" si="4"/>
        <v>0.020999999999999942</v>
      </c>
      <c r="I9" s="1">
        <f t="shared" si="0"/>
        <v>2538538.21202468</v>
      </c>
      <c r="J9" s="11">
        <f t="shared" si="2"/>
        <v>14.747098966250059</v>
      </c>
      <c r="K9" s="1">
        <f t="shared" si="3"/>
        <v>0.9583409998294046</v>
      </c>
    </row>
    <row r="10" spans="1:11" ht="12.75">
      <c r="A10">
        <f t="shared" si="1"/>
        <v>1985</v>
      </c>
      <c r="G10" s="1">
        <v>1.0999999999999943</v>
      </c>
      <c r="H10" s="1">
        <f t="shared" si="4"/>
        <v>0.010999999999999944</v>
      </c>
      <c r="I10" s="1">
        <f t="shared" si="0"/>
        <v>2566772.7118550856</v>
      </c>
      <c r="J10" s="11">
        <f t="shared" si="2"/>
        <v>14.758159913609484</v>
      </c>
      <c r="K10" s="1">
        <f t="shared" si="3"/>
        <v>0.9689999998275071</v>
      </c>
    </row>
    <row r="11" spans="1:11" ht="12.75">
      <c r="A11">
        <f t="shared" si="1"/>
        <v>1986</v>
      </c>
      <c r="G11" s="1">
        <v>3.0999999999999943</v>
      </c>
      <c r="H11" s="1">
        <f t="shared" si="4"/>
        <v>0.030999999999999944</v>
      </c>
      <c r="I11" s="1">
        <f t="shared" si="0"/>
        <v>2648888.247528468</v>
      </c>
      <c r="J11" s="11">
        <f t="shared" si="2"/>
        <v>14.789650580700854</v>
      </c>
      <c r="K11" s="1">
        <f t="shared" si="3"/>
        <v>0.9999999998219886</v>
      </c>
    </row>
    <row r="12" spans="1:11" ht="12.75">
      <c r="A12">
        <f t="shared" si="1"/>
        <v>1987</v>
      </c>
      <c r="G12" s="1">
        <v>-1.0999999999999943</v>
      </c>
      <c r="H12" s="1">
        <f t="shared" si="4"/>
        <v>-0.010999999999999944</v>
      </c>
      <c r="I12" s="1">
        <f t="shared" si="0"/>
        <v>2620067.5049737566</v>
      </c>
      <c r="J12" s="11">
        <f t="shared" si="2"/>
        <v>14.77871064066252</v>
      </c>
      <c r="K12" s="1">
        <f t="shared" si="3"/>
        <v>0.9891196833056267</v>
      </c>
    </row>
    <row r="13" spans="1:11" ht="12.75">
      <c r="A13">
        <f t="shared" si="1"/>
        <v>1988</v>
      </c>
      <c r="G13" s="1">
        <v>-1.7</v>
      </c>
      <c r="H13" s="1">
        <f t="shared" si="4"/>
        <v>-0.017</v>
      </c>
      <c r="I13" s="1">
        <f t="shared" si="0"/>
        <v>2576270.8996792105</v>
      </c>
      <c r="J13" s="11">
        <f t="shared" si="2"/>
        <v>14.761853523596097</v>
      </c>
      <c r="K13" s="1">
        <f t="shared" si="3"/>
        <v>0.972585725964235</v>
      </c>
    </row>
    <row r="14" spans="1:11" ht="12.75">
      <c r="A14">
        <f t="shared" si="1"/>
        <v>1989</v>
      </c>
      <c r="G14" s="1">
        <v>-1.8</v>
      </c>
      <c r="H14" s="1">
        <f t="shared" si="4"/>
        <v>-0.018000000000000002</v>
      </c>
      <c r="I14" s="1">
        <f t="shared" si="0"/>
        <v>2530717.976109244</v>
      </c>
      <c r="J14" s="11">
        <f t="shared" si="2"/>
        <v>14.744013605467766</v>
      </c>
      <c r="K14" s="1">
        <f t="shared" si="3"/>
        <v>0.9553887288450245</v>
      </c>
    </row>
    <row r="15" spans="1:11" ht="12.75">
      <c r="A15">
        <f t="shared" si="1"/>
        <v>1990</v>
      </c>
      <c r="G15" s="1">
        <v>-4.699970939501824</v>
      </c>
      <c r="H15" s="1">
        <f t="shared" si="4"/>
        <v>-0.04699970939501824</v>
      </c>
      <c r="I15" s="1">
        <f t="shared" si="0"/>
        <v>2417114.306145848</v>
      </c>
      <c r="J15" s="11">
        <f t="shared" si="2"/>
        <v>14.698084951139082</v>
      </c>
      <c r="K15" s="1">
        <f t="shared" si="3"/>
        <v>0.912501426955573</v>
      </c>
    </row>
    <row r="16" spans="1:11" ht="12.75">
      <c r="A16">
        <f>A17-1</f>
        <v>1991</v>
      </c>
      <c r="C16">
        <v>349408</v>
      </c>
      <c r="D16">
        <v>194.9</v>
      </c>
      <c r="G16" s="1">
        <v>-8.90010719147341</v>
      </c>
      <c r="H16" s="1">
        <f t="shared" si="4"/>
        <v>-0.0890010719147341</v>
      </c>
      <c r="I16" s="1">
        <f>I17*(1-G17/100)</f>
        <v>2219570.1808593827</v>
      </c>
      <c r="J16" s="11">
        <f t="shared" si="2"/>
        <v>14.612824122877692</v>
      </c>
      <c r="K16" s="1">
        <f t="shared" si="3"/>
        <v>0.83792518711774</v>
      </c>
    </row>
    <row r="17" spans="1:13" ht="12.75">
      <c r="A17">
        <v>1992</v>
      </c>
      <c r="C17">
        <v>1017965</v>
      </c>
      <c r="D17">
        <v>308.2</v>
      </c>
      <c r="E17">
        <f>E18/D18*100</f>
        <v>0.4836898383797807</v>
      </c>
      <c r="F17" s="9">
        <f>C17/E17</f>
        <v>2104582.1500196997</v>
      </c>
      <c r="G17" s="1">
        <v>-5.4636988553099</v>
      </c>
      <c r="H17" s="1">
        <f t="shared" si="4"/>
        <v>-0.054636988553099</v>
      </c>
      <c r="I17" s="1">
        <f>F17</f>
        <v>2104582.1500196997</v>
      </c>
      <c r="J17" s="11">
        <f t="shared" si="2"/>
        <v>14.559627501840595</v>
      </c>
      <c r="K17" s="1">
        <f t="shared" si="3"/>
        <v>0.7945152656435129</v>
      </c>
      <c r="M17">
        <f>F17/3106568*0.755</f>
        <v>0.5114839022564043</v>
      </c>
    </row>
    <row r="18" spans="1:13" ht="12.75">
      <c r="A18">
        <f>A17+1</f>
        <v>1993</v>
      </c>
      <c r="C18">
        <v>1435095</v>
      </c>
      <c r="D18">
        <v>137.1</v>
      </c>
      <c r="E18">
        <f>E19/D19*100</f>
        <v>0.6631387684186794</v>
      </c>
      <c r="F18" s="9">
        <f aca="true" t="shared" si="5" ref="F18:F27">C18/E18</f>
        <v>2164094.5580999996</v>
      </c>
      <c r="G18" s="1">
        <f>LN(F18/F17)*100</f>
        <v>2.788511213294085</v>
      </c>
      <c r="H18" s="1">
        <f t="shared" si="4"/>
        <v>0.02788511213294085</v>
      </c>
      <c r="I18" s="1">
        <f aca="true" t="shared" si="6" ref="I18:I27">F18</f>
        <v>2164094.5580999996</v>
      </c>
      <c r="J18" s="11">
        <f t="shared" si="2"/>
        <v>14.587512613973535</v>
      </c>
      <c r="K18" s="1">
        <f t="shared" si="3"/>
        <v>0.8169822036599558</v>
      </c>
      <c r="M18">
        <f aca="true" t="shared" si="7" ref="M18:M27">F18/3106568*0.755</f>
        <v>0.525947409284297</v>
      </c>
    </row>
    <row r="19" spans="1:13" ht="12.75">
      <c r="A19">
        <f aca="true" t="shared" si="8" ref="A19:A27">A18+1</f>
        <v>1994</v>
      </c>
      <c r="C19">
        <v>1852997</v>
      </c>
      <c r="D19">
        <v>122.6</v>
      </c>
      <c r="E19">
        <f>E20/D20*100</f>
        <v>0.8130081300813009</v>
      </c>
      <c r="F19" s="9">
        <f t="shared" si="5"/>
        <v>2279186.3099999996</v>
      </c>
      <c r="G19" s="1">
        <f aca="true" t="shared" si="9" ref="G19:G27">LN(F19/F18)*100</f>
        <v>5.1816441680755165</v>
      </c>
      <c r="H19" s="1">
        <f t="shared" si="4"/>
        <v>0.051816441680755165</v>
      </c>
      <c r="I19" s="1">
        <f t="shared" si="6"/>
        <v>2279186.3099999996</v>
      </c>
      <c r="J19" s="11">
        <f t="shared" si="2"/>
        <v>14.63932905565429</v>
      </c>
      <c r="K19" s="1">
        <f t="shared" si="3"/>
        <v>0.8604312815842126</v>
      </c>
      <c r="M19">
        <f t="shared" si="7"/>
        <v>0.5539185570861477</v>
      </c>
    </row>
    <row r="20" spans="1:13" ht="12.75">
      <c r="A20">
        <f t="shared" si="8"/>
        <v>1995</v>
      </c>
      <c r="C20">
        <v>2372657</v>
      </c>
      <c r="D20">
        <v>123</v>
      </c>
      <c r="E20">
        <v>1</v>
      </c>
      <c r="F20" s="9">
        <f t="shared" si="5"/>
        <v>2372657</v>
      </c>
      <c r="G20" s="1">
        <f t="shared" si="9"/>
        <v>4.019192654343613</v>
      </c>
      <c r="H20" s="1">
        <f t="shared" si="4"/>
        <v>0.04019192654343613</v>
      </c>
      <c r="I20" s="1">
        <f t="shared" si="6"/>
        <v>2372657</v>
      </c>
      <c r="J20" s="11">
        <f t="shared" si="2"/>
        <v>14.679520982197726</v>
      </c>
      <c r="K20" s="1">
        <f t="shared" si="3"/>
        <v>0.8957180438968824</v>
      </c>
      <c r="M20">
        <f t="shared" si="7"/>
        <v>0.5766350631951401</v>
      </c>
    </row>
    <row r="21" spans="1:13" ht="12.75">
      <c r="A21">
        <f t="shared" si="8"/>
        <v>1996</v>
      </c>
      <c r="C21">
        <v>2728199</v>
      </c>
      <c r="D21">
        <v>110.9</v>
      </c>
      <c r="E21">
        <f>E20*D21/100</f>
        <v>1.109</v>
      </c>
      <c r="F21" s="9">
        <f t="shared" si="5"/>
        <v>2460053.201082056</v>
      </c>
      <c r="G21" s="1">
        <f t="shared" si="9"/>
        <v>3.617255193309152</v>
      </c>
      <c r="H21" s="1">
        <f t="shared" si="4"/>
        <v>0.03617255193309152</v>
      </c>
      <c r="I21" s="1">
        <f t="shared" si="6"/>
        <v>2460053.201082056</v>
      </c>
      <c r="J21" s="11">
        <f t="shared" si="2"/>
        <v>14.715693534130818</v>
      </c>
      <c r="K21" s="1">
        <f t="shared" si="3"/>
        <v>0.9287115841672365</v>
      </c>
      <c r="M21">
        <f t="shared" si="7"/>
        <v>0.5978752651855527</v>
      </c>
    </row>
    <row r="22" spans="1:13" ht="12.75">
      <c r="A22">
        <f t="shared" si="8"/>
        <v>1997</v>
      </c>
      <c r="C22">
        <v>3110075</v>
      </c>
      <c r="D22">
        <v>108.8</v>
      </c>
      <c r="E22">
        <f aca="true" t="shared" si="10" ref="E22:E27">E21*D22/100</f>
        <v>1.2065919999999999</v>
      </c>
      <c r="F22" s="9">
        <f t="shared" si="5"/>
        <v>2577569.717021164</v>
      </c>
      <c r="G22" s="1">
        <f t="shared" si="9"/>
        <v>4.66640086874655</v>
      </c>
      <c r="H22" s="1">
        <f t="shared" si="4"/>
        <v>0.046664008687465494</v>
      </c>
      <c r="I22" s="1">
        <f t="shared" si="6"/>
        <v>2577569.717021164</v>
      </c>
      <c r="J22" s="11">
        <f t="shared" si="2"/>
        <v>14.762357542818282</v>
      </c>
      <c r="K22" s="1">
        <f t="shared" si="3"/>
        <v>0.9730760514216921</v>
      </c>
      <c r="M22">
        <f t="shared" si="7"/>
        <v>0.6264357118051106</v>
      </c>
    </row>
    <row r="23" spans="1:13" ht="12.75">
      <c r="A23">
        <f t="shared" si="8"/>
        <v>1998</v>
      </c>
      <c r="C23">
        <v>3464889</v>
      </c>
      <c r="D23">
        <v>107.6</v>
      </c>
      <c r="E23">
        <f t="shared" si="10"/>
        <v>1.2982929919999997</v>
      </c>
      <c r="F23" s="9">
        <f t="shared" si="5"/>
        <v>2668803.591600994</v>
      </c>
      <c r="G23" s="1">
        <f t="shared" si="9"/>
        <v>3.4783294101130022</v>
      </c>
      <c r="H23" s="1">
        <f t="shared" si="4"/>
        <v>0.03478329410113002</v>
      </c>
      <c r="I23" s="1">
        <f t="shared" si="6"/>
        <v>2668803.591600994</v>
      </c>
      <c r="J23" s="11">
        <f t="shared" si="2"/>
        <v>14.797140836919413</v>
      </c>
      <c r="K23" s="1">
        <f t="shared" si="3"/>
        <v>1.0075183781784796</v>
      </c>
      <c r="M23">
        <f t="shared" si="7"/>
        <v>0.6486085969013878</v>
      </c>
    </row>
    <row r="24" spans="1:13" ht="12.75">
      <c r="A24">
        <f t="shared" si="8"/>
        <v>1999</v>
      </c>
      <c r="C24">
        <v>3874720</v>
      </c>
      <c r="D24">
        <v>105.9</v>
      </c>
      <c r="E24">
        <f t="shared" si="10"/>
        <v>1.3748922785279998</v>
      </c>
      <c r="F24" s="9">
        <f t="shared" si="5"/>
        <v>2818198.9676663172</v>
      </c>
      <c r="G24" s="1">
        <f t="shared" si="9"/>
        <v>5.4467738014072715</v>
      </c>
      <c r="H24" s="1">
        <f t="shared" si="4"/>
        <v>0.05446773801407272</v>
      </c>
      <c r="I24" s="1">
        <f t="shared" si="6"/>
        <v>2818198.9676663172</v>
      </c>
      <c r="J24" s="11">
        <f t="shared" si="2"/>
        <v>14.851608574933486</v>
      </c>
      <c r="K24" s="1">
        <f t="shared" si="3"/>
        <v>1.063917652922562</v>
      </c>
      <c r="M24">
        <f t="shared" si="7"/>
        <v>0.6849166735085372</v>
      </c>
    </row>
    <row r="25" spans="1:13" ht="12.75">
      <c r="A25">
        <f t="shared" si="8"/>
        <v>2000</v>
      </c>
      <c r="C25">
        <v>4252315</v>
      </c>
      <c r="D25">
        <v>105.6</v>
      </c>
      <c r="E25">
        <f t="shared" si="10"/>
        <v>1.4518862461255677</v>
      </c>
      <c r="F25" s="9">
        <f t="shared" si="5"/>
        <v>2928821.050097774</v>
      </c>
      <c r="G25" s="1">
        <f t="shared" si="9"/>
        <v>3.850195310615546</v>
      </c>
      <c r="H25" s="1">
        <f t="shared" si="4"/>
        <v>0.03850195310615546</v>
      </c>
      <c r="I25" s="1">
        <f t="shared" si="6"/>
        <v>2928821.050097774</v>
      </c>
      <c r="J25" s="11">
        <f t="shared" si="2"/>
        <v>14.89011052803964</v>
      </c>
      <c r="K25" s="1">
        <f t="shared" si="3"/>
        <v>1.105679355219735</v>
      </c>
      <c r="M25">
        <f t="shared" si="7"/>
        <v>0.7118015420308904</v>
      </c>
    </row>
    <row r="26" spans="1:13" ht="12.75">
      <c r="A26">
        <f t="shared" si="8"/>
        <v>2001</v>
      </c>
      <c r="C26">
        <v>4761815</v>
      </c>
      <c r="D26">
        <v>109.1</v>
      </c>
      <c r="E26">
        <f t="shared" si="10"/>
        <v>1.5840078945229943</v>
      </c>
      <c r="F26" s="9">
        <f t="shared" si="5"/>
        <v>3006181.355828385</v>
      </c>
      <c r="G26" s="1">
        <f t="shared" si="9"/>
        <v>2.6070650715791603</v>
      </c>
      <c r="H26" s="1">
        <f t="shared" si="4"/>
        <v>0.026070650715791604</v>
      </c>
      <c r="I26" s="1">
        <f t="shared" si="6"/>
        <v>3006181.355828385</v>
      </c>
      <c r="J26" s="11">
        <f t="shared" si="2"/>
        <v>14.916181178755433</v>
      </c>
      <c r="K26" s="1">
        <f t="shared" si="3"/>
        <v>1.1348841756907462</v>
      </c>
      <c r="M26">
        <f t="shared" si="7"/>
        <v>0.730602685552169</v>
      </c>
    </row>
    <row r="27" spans="1:13" ht="12.75">
      <c r="A27">
        <f t="shared" si="8"/>
        <v>2002</v>
      </c>
      <c r="C27">
        <v>5314494</v>
      </c>
      <c r="D27">
        <v>108</v>
      </c>
      <c r="E27">
        <f t="shared" si="10"/>
        <v>1.7107285260848337</v>
      </c>
      <c r="F27" s="9">
        <f t="shared" si="5"/>
        <v>3106567.710168912</v>
      </c>
      <c r="G27" s="1">
        <f t="shared" si="9"/>
        <v>3.2847865780994474</v>
      </c>
      <c r="H27" s="1">
        <f t="shared" si="4"/>
        <v>0.032847865780994474</v>
      </c>
      <c r="I27" s="1">
        <f t="shared" si="6"/>
        <v>3106567.710168912</v>
      </c>
      <c r="J27" s="11">
        <f t="shared" si="2"/>
        <v>14.949029044536427</v>
      </c>
      <c r="K27" s="1">
        <f t="shared" si="3"/>
        <v>1.17278171795827</v>
      </c>
      <c r="M27">
        <f t="shared" si="7"/>
        <v>0.7549999295613451</v>
      </c>
    </row>
    <row r="28" spans="6:10" ht="12.75">
      <c r="F28" s="9"/>
      <c r="G28" s="1"/>
      <c r="H28" s="1"/>
      <c r="I28" s="1"/>
      <c r="J28" s="11"/>
    </row>
    <row r="29" spans="1:10" ht="12.75">
      <c r="A29" t="s">
        <v>193</v>
      </c>
      <c r="F29" s="9"/>
      <c r="G29" s="1"/>
      <c r="H29" s="1"/>
      <c r="I29" s="1">
        <f>EXP(1/10*LN(I25/I15))-1</f>
        <v>0.01938811260762785</v>
      </c>
      <c r="J29" s="11"/>
    </row>
    <row r="30" spans="1:10" ht="12.75">
      <c r="A30" t="s">
        <v>96</v>
      </c>
      <c r="F30" s="9"/>
      <c r="G30" s="1"/>
      <c r="H30" s="1"/>
      <c r="I30" s="1">
        <f>EXP(1/8*LN(I25/I17))-1</f>
        <v>0.04217552399311342</v>
      </c>
      <c r="J30" s="11"/>
    </row>
    <row r="31" spans="1:10" ht="12.75">
      <c r="A31" t="s">
        <v>95</v>
      </c>
      <c r="F31" s="1"/>
      <c r="G31" s="1"/>
      <c r="I31" s="1">
        <f>EXP(1/10*LN(I27/I17))-1</f>
        <v>0.03970825968803582</v>
      </c>
      <c r="J31" s="11"/>
    </row>
    <row r="32" spans="1:10" ht="12.75">
      <c r="A32" t="s">
        <v>99</v>
      </c>
      <c r="F32" s="1"/>
      <c r="G32" s="1"/>
      <c r="H32" s="1"/>
      <c r="I32" s="1">
        <f>EXP(1/9*LN(I27/I18))-1</f>
        <v>0.0409861575526973</v>
      </c>
      <c r="J32" s="11"/>
    </row>
    <row r="33" spans="1:10" ht="12.75">
      <c r="A33" t="s">
        <v>185</v>
      </c>
      <c r="F33" s="1"/>
      <c r="G33" s="1"/>
      <c r="H33" s="1"/>
      <c r="I33" s="1">
        <f>EXP(1/8*LN(I27/I19))-1</f>
        <v>0.03947159115916721</v>
      </c>
      <c r="J33" s="11"/>
    </row>
    <row r="34" spans="1:9" ht="12.75">
      <c r="A34" t="s">
        <v>464</v>
      </c>
      <c r="I34" s="1">
        <f>EXP(1/7*LN(I27/I20))-1</f>
        <v>0.039251925328868786</v>
      </c>
    </row>
    <row r="36" ht="12.75">
      <c r="A36" t="s">
        <v>478</v>
      </c>
    </row>
    <row r="37" ht="12.75">
      <c r="A37" t="s">
        <v>510</v>
      </c>
    </row>
  </sheetData>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Q23"/>
  <sheetViews>
    <sheetView workbookViewId="0" topLeftCell="A1">
      <selection activeCell="A23" sqref="A23"/>
    </sheetView>
  </sheetViews>
  <sheetFormatPr defaultColWidth="9.140625" defaultRowHeight="12.75"/>
  <cols>
    <col min="5" max="8" width="8.00390625" style="0" customWidth="1"/>
    <col min="9" max="10" width="16.421875" style="0" customWidth="1"/>
    <col min="22" max="22" width="13.421875" style="0" customWidth="1"/>
  </cols>
  <sheetData>
    <row r="1" ht="12.75">
      <c r="A1" t="s">
        <v>15</v>
      </c>
    </row>
    <row r="3" spans="1:17" ht="12.75">
      <c r="A3" t="s">
        <v>16</v>
      </c>
      <c r="C3" t="s">
        <v>17</v>
      </c>
      <c r="E3" t="s">
        <v>20</v>
      </c>
      <c r="F3" t="s">
        <v>21</v>
      </c>
      <c r="G3" t="s">
        <v>23</v>
      </c>
      <c r="I3" t="s">
        <v>24</v>
      </c>
      <c r="K3" t="s">
        <v>19</v>
      </c>
      <c r="L3" t="s">
        <v>18</v>
      </c>
      <c r="N3" t="s">
        <v>25</v>
      </c>
      <c r="P3" t="s">
        <v>26</v>
      </c>
      <c r="Q3" t="s">
        <v>27</v>
      </c>
    </row>
    <row r="5" spans="1:17" ht="12.75">
      <c r="A5">
        <v>1987</v>
      </c>
      <c r="C5" s="10">
        <v>54.29329207647255</v>
      </c>
      <c r="D5" s="10"/>
      <c r="E5" s="9">
        <v>1049.3217249277825</v>
      </c>
      <c r="F5" s="9">
        <v>97.17</v>
      </c>
      <c r="G5">
        <f>F5/(E5-F5)</f>
        <v>0.10205306303191333</v>
      </c>
      <c r="I5">
        <f>(1+G5)*C5</f>
        <v>59.834088834962884</v>
      </c>
      <c r="K5" s="10">
        <v>12.321803514200464</v>
      </c>
      <c r="L5" s="10">
        <v>5.282351641065311</v>
      </c>
      <c r="N5" s="10">
        <f>100-K5+L5</f>
        <v>92.96054812686484</v>
      </c>
      <c r="P5" s="1">
        <f>I5/N5</f>
        <v>0.6436503445881826</v>
      </c>
      <c r="Q5" s="1">
        <f>1-P5</f>
        <v>0.3563496554118174</v>
      </c>
    </row>
    <row r="6" spans="1:17" ht="12.75">
      <c r="A6">
        <f>A5+1</f>
        <v>1988</v>
      </c>
      <c r="C6" s="10">
        <v>52.30309293570532</v>
      </c>
      <c r="D6" s="10"/>
      <c r="E6" s="9">
        <v>1044.776864409378</v>
      </c>
      <c r="F6" s="9">
        <v>97.282</v>
      </c>
      <c r="G6">
        <f aca="true" t="shared" si="0" ref="G6:G20">F6/(E6-F6)</f>
        <v>0.10267285201660786</v>
      </c>
      <c r="I6">
        <f aca="true" t="shared" si="1" ref="I6:I20">(1+G6)*C6</f>
        <v>57.673200656703884</v>
      </c>
      <c r="K6" s="10">
        <v>12.681774562633793</v>
      </c>
      <c r="L6" s="10">
        <v>3.3882040304126373</v>
      </c>
      <c r="N6" s="10">
        <f aca="true" t="shared" si="2" ref="N6:N20">100-K6+L6</f>
        <v>90.70642946777885</v>
      </c>
      <c r="P6" s="1">
        <f aca="true" t="shared" si="3" ref="P6:P20">I6/N6</f>
        <v>0.63582263126332</v>
      </c>
      <c r="Q6" s="1">
        <f aca="true" t="shared" si="4" ref="Q6:Q20">1-P6</f>
        <v>0.36417736873668005</v>
      </c>
    </row>
    <row r="7" spans="1:17" ht="12.75">
      <c r="A7">
        <f aca="true" t="shared" si="5" ref="A7:A20">A6+1</f>
        <v>1989</v>
      </c>
      <c r="C7" s="10">
        <v>69.7191260427249</v>
      </c>
      <c r="D7" s="10"/>
      <c r="E7" s="9">
        <v>1034.1721898664346</v>
      </c>
      <c r="F7" s="9">
        <v>95.93</v>
      </c>
      <c r="G7">
        <f t="shared" si="0"/>
        <v>0.10224438960014826</v>
      </c>
      <c r="I7">
        <f t="shared" si="1"/>
        <v>76.84751552841911</v>
      </c>
      <c r="K7" s="10">
        <v>10.651461603399676</v>
      </c>
      <c r="L7" s="10">
        <v>1.9396471547739986</v>
      </c>
      <c r="N7" s="10">
        <f t="shared" si="2"/>
        <v>91.28818555137431</v>
      </c>
      <c r="P7" s="1">
        <f t="shared" si="3"/>
        <v>0.8418122790398938</v>
      </c>
      <c r="Q7" s="1">
        <f t="shared" si="4"/>
        <v>0.15818772096010625</v>
      </c>
    </row>
    <row r="8" spans="1:17" ht="12.75">
      <c r="A8">
        <f t="shared" si="5"/>
        <v>1990</v>
      </c>
      <c r="C8" s="10">
        <v>59.45104209707266</v>
      </c>
      <c r="D8" s="10"/>
      <c r="E8" s="9">
        <v>999.8693140489542</v>
      </c>
      <c r="F8" s="9">
        <v>96.629</v>
      </c>
      <c r="G8">
        <f t="shared" si="0"/>
        <v>0.10698038882569504</v>
      </c>
      <c r="I8">
        <f t="shared" si="1"/>
        <v>65.81113769671026</v>
      </c>
      <c r="K8" s="10">
        <v>14.239392890595182</v>
      </c>
      <c r="L8" s="10">
        <v>3.237008790827899</v>
      </c>
      <c r="N8" s="10">
        <f t="shared" si="2"/>
        <v>88.99761590023272</v>
      </c>
      <c r="P8" s="1">
        <f t="shared" si="3"/>
        <v>0.7394707940321149</v>
      </c>
      <c r="Q8" s="1">
        <f t="shared" si="4"/>
        <v>0.2605292059678851</v>
      </c>
    </row>
    <row r="9" spans="1:17" ht="12.75">
      <c r="A9">
        <f t="shared" si="5"/>
        <v>1991</v>
      </c>
      <c r="C9" s="10">
        <v>63.10241144884407</v>
      </c>
      <c r="D9" s="10"/>
      <c r="E9" s="9">
        <v>945.2227768633783</v>
      </c>
      <c r="F9" s="9">
        <v>98.591</v>
      </c>
      <c r="G9">
        <f t="shared" si="0"/>
        <v>0.11645086174920377</v>
      </c>
      <c r="I9">
        <f t="shared" si="1"/>
        <v>70.45074164051478</v>
      </c>
      <c r="K9" s="10">
        <v>14.428682555246269</v>
      </c>
      <c r="L9" s="10">
        <v>2.6789010675765477</v>
      </c>
      <c r="N9" s="10">
        <f t="shared" si="2"/>
        <v>88.25021851233028</v>
      </c>
      <c r="P9" s="1">
        <f t="shared" si="3"/>
        <v>0.7983067104890107</v>
      </c>
      <c r="Q9" s="1">
        <f t="shared" si="4"/>
        <v>0.2016932895109893</v>
      </c>
    </row>
    <row r="10" spans="1:17" ht="12.75">
      <c r="A10">
        <f t="shared" si="5"/>
        <v>1992</v>
      </c>
      <c r="C10">
        <v>64.1</v>
      </c>
      <c r="E10" s="9">
        <v>903.0205006210523</v>
      </c>
      <c r="F10" s="9">
        <v>99.63841666666666</v>
      </c>
      <c r="G10">
        <f t="shared" si="0"/>
        <v>0.12402369763615978</v>
      </c>
      <c r="I10">
        <f t="shared" si="1"/>
        <v>72.04991901847784</v>
      </c>
      <c r="K10" s="10">
        <v>14.107281591546872</v>
      </c>
      <c r="L10" s="10">
        <v>2.5910584415390634</v>
      </c>
      <c r="N10" s="10">
        <f t="shared" si="2"/>
        <v>88.4837768499922</v>
      </c>
      <c r="P10" s="1">
        <f t="shared" si="3"/>
        <v>0.8142726450366725</v>
      </c>
      <c r="Q10" s="1">
        <f t="shared" si="4"/>
        <v>0.18572735496332748</v>
      </c>
    </row>
    <row r="11" spans="1:17" ht="12.75">
      <c r="A11">
        <f t="shared" si="5"/>
        <v>1993</v>
      </c>
      <c r="C11">
        <v>60.1</v>
      </c>
      <c r="E11" s="9">
        <v>886.7661316098734</v>
      </c>
      <c r="F11" s="9">
        <v>103</v>
      </c>
      <c r="G11">
        <f t="shared" si="0"/>
        <v>0.1314167528372726</v>
      </c>
      <c r="I11">
        <f t="shared" si="1"/>
        <v>67.9981468455201</v>
      </c>
      <c r="K11" s="10">
        <v>16</v>
      </c>
      <c r="L11">
        <v>2.1</v>
      </c>
      <c r="N11" s="10">
        <f t="shared" si="2"/>
        <v>86.1</v>
      </c>
      <c r="P11" s="1">
        <f t="shared" si="3"/>
        <v>0.7897578030838571</v>
      </c>
      <c r="Q11" s="1">
        <f t="shared" si="4"/>
        <v>0.21024219691614288</v>
      </c>
    </row>
    <row r="12" spans="1:17" ht="12.75">
      <c r="A12">
        <f t="shared" si="5"/>
        <v>1994</v>
      </c>
      <c r="C12" s="10">
        <v>58</v>
      </c>
      <c r="D12" s="10"/>
      <c r="E12" s="9">
        <v>883.2190670834339</v>
      </c>
      <c r="F12" s="9">
        <v>104</v>
      </c>
      <c r="G12">
        <f t="shared" si="0"/>
        <v>0.1334669599260003</v>
      </c>
      <c r="I12">
        <f t="shared" si="1"/>
        <v>65.74108367570801</v>
      </c>
      <c r="K12" s="10">
        <v>16.5</v>
      </c>
      <c r="L12">
        <v>2.3</v>
      </c>
      <c r="N12" s="10">
        <f t="shared" si="2"/>
        <v>85.8</v>
      </c>
      <c r="P12" s="1">
        <f t="shared" si="3"/>
        <v>0.7662130964534734</v>
      </c>
      <c r="Q12" s="1">
        <f t="shared" si="4"/>
        <v>0.23378690354652665</v>
      </c>
    </row>
    <row r="13" spans="1:17" ht="12.75">
      <c r="A13">
        <f t="shared" si="5"/>
        <v>1995</v>
      </c>
      <c r="C13">
        <v>57.2</v>
      </c>
      <c r="E13" s="9">
        <v>892.4170113007938</v>
      </c>
      <c r="F13" s="9">
        <v>108</v>
      </c>
      <c r="G13">
        <f t="shared" si="0"/>
        <v>0.13768186875614066</v>
      </c>
      <c r="I13">
        <f t="shared" si="1"/>
        <v>65.07540289285126</v>
      </c>
      <c r="K13" s="10">
        <v>17</v>
      </c>
      <c r="L13">
        <v>2.2</v>
      </c>
      <c r="N13" s="10">
        <f t="shared" si="2"/>
        <v>85.2</v>
      </c>
      <c r="P13" s="1">
        <f t="shared" si="3"/>
        <v>0.7637958086015406</v>
      </c>
      <c r="Q13" s="1">
        <f t="shared" si="4"/>
        <v>0.23620419139845938</v>
      </c>
    </row>
    <row r="14" spans="1:17" ht="12.75">
      <c r="A14">
        <f t="shared" si="5"/>
        <v>1996</v>
      </c>
      <c r="C14">
        <v>54.8</v>
      </c>
      <c r="E14" s="9">
        <v>883.7601226256315</v>
      </c>
      <c r="F14" s="9">
        <v>109</v>
      </c>
      <c r="G14">
        <f t="shared" si="0"/>
        <v>0.14068870714538495</v>
      </c>
      <c r="I14">
        <f t="shared" si="1"/>
        <v>62.509741151567084</v>
      </c>
      <c r="K14" s="10">
        <v>17.4</v>
      </c>
      <c r="L14">
        <v>2.1</v>
      </c>
      <c r="N14" s="10">
        <f t="shared" si="2"/>
        <v>84.69999999999999</v>
      </c>
      <c r="P14" s="1">
        <f t="shared" si="3"/>
        <v>0.7380134728638381</v>
      </c>
      <c r="Q14" s="1">
        <f t="shared" si="4"/>
        <v>0.2619865271361619</v>
      </c>
    </row>
    <row r="15" spans="1:17" ht="12.75">
      <c r="A15">
        <f t="shared" si="5"/>
        <v>1997</v>
      </c>
      <c r="C15">
        <v>53.5</v>
      </c>
      <c r="E15" s="9">
        <v>879.2152560711713</v>
      </c>
      <c r="F15" s="9">
        <v>109</v>
      </c>
      <c r="G15">
        <f t="shared" si="0"/>
        <v>0.14151887948312453</v>
      </c>
      <c r="I15">
        <f t="shared" si="1"/>
        <v>61.071260052347164</v>
      </c>
      <c r="K15" s="10">
        <v>17</v>
      </c>
      <c r="L15">
        <v>2.1</v>
      </c>
      <c r="N15" s="10">
        <f t="shared" si="2"/>
        <v>85.1</v>
      </c>
      <c r="P15" s="1">
        <f t="shared" si="3"/>
        <v>0.7176411286997317</v>
      </c>
      <c r="Q15" s="1">
        <f t="shared" si="4"/>
        <v>0.28235887130026827</v>
      </c>
    </row>
    <row r="16" spans="1:17" ht="12.75">
      <c r="A16">
        <f t="shared" si="5"/>
        <v>1998</v>
      </c>
      <c r="C16">
        <v>52.3</v>
      </c>
      <c r="E16" s="9">
        <v>879.3234671796108</v>
      </c>
      <c r="F16" s="9">
        <v>110</v>
      </c>
      <c r="G16">
        <f t="shared" si="0"/>
        <v>0.1429827695277086</v>
      </c>
      <c r="I16">
        <f t="shared" si="1"/>
        <v>59.777998846299155</v>
      </c>
      <c r="K16" s="10">
        <v>17.6</v>
      </c>
      <c r="L16">
        <v>2.2</v>
      </c>
      <c r="N16" s="10">
        <f t="shared" si="2"/>
        <v>84.60000000000001</v>
      </c>
      <c r="P16" s="1">
        <f t="shared" si="3"/>
        <v>0.7065957310437252</v>
      </c>
      <c r="Q16" s="1">
        <f t="shared" si="4"/>
        <v>0.2934042689562748</v>
      </c>
    </row>
    <row r="17" spans="1:17" ht="12.75">
      <c r="A17">
        <f t="shared" si="5"/>
        <v>1999</v>
      </c>
      <c r="C17">
        <v>51.8</v>
      </c>
      <c r="E17" s="9">
        <v>890.1445780235636</v>
      </c>
      <c r="F17" s="9">
        <v>107</v>
      </c>
      <c r="G17">
        <f t="shared" si="0"/>
        <v>0.13662866730181275</v>
      </c>
      <c r="I17">
        <f t="shared" si="1"/>
        <v>58.87736496623389</v>
      </c>
      <c r="K17" s="10">
        <v>18.3</v>
      </c>
      <c r="L17">
        <v>2.2</v>
      </c>
      <c r="N17" s="10">
        <f t="shared" si="2"/>
        <v>83.9</v>
      </c>
      <c r="P17" s="1">
        <f t="shared" si="3"/>
        <v>0.7017564358311548</v>
      </c>
      <c r="Q17" s="1">
        <f t="shared" si="4"/>
        <v>0.29824356416884523</v>
      </c>
    </row>
    <row r="18" spans="1:17" ht="12.75">
      <c r="A18">
        <f t="shared" si="5"/>
        <v>2000</v>
      </c>
      <c r="C18">
        <v>52.9</v>
      </c>
      <c r="E18" s="9">
        <v>900.1</v>
      </c>
      <c r="F18" s="9">
        <v>97</v>
      </c>
      <c r="G18">
        <f t="shared" si="0"/>
        <v>0.12078196986676627</v>
      </c>
      <c r="I18">
        <f t="shared" si="1"/>
        <v>59.289366205951936</v>
      </c>
      <c r="K18" s="10">
        <v>16.5</v>
      </c>
      <c r="L18">
        <v>1.4</v>
      </c>
      <c r="N18" s="10">
        <f t="shared" si="2"/>
        <v>84.9</v>
      </c>
      <c r="P18" s="1">
        <f t="shared" si="3"/>
        <v>0.6983435359947224</v>
      </c>
      <c r="Q18" s="1">
        <f t="shared" si="4"/>
        <v>0.30165646400527757</v>
      </c>
    </row>
    <row r="19" spans="1:17" ht="12.75">
      <c r="A19">
        <f t="shared" si="5"/>
        <v>2001</v>
      </c>
      <c r="C19">
        <v>53.1</v>
      </c>
      <c r="E19" s="9">
        <v>904.3</v>
      </c>
      <c r="F19" s="9">
        <v>106</v>
      </c>
      <c r="G19">
        <f t="shared" si="0"/>
        <v>0.1327821620944507</v>
      </c>
      <c r="I19">
        <f t="shared" si="1"/>
        <v>60.150732807215334</v>
      </c>
      <c r="K19" s="10">
        <v>16.3</v>
      </c>
      <c r="L19">
        <v>1.4</v>
      </c>
      <c r="N19" s="10">
        <f t="shared" si="2"/>
        <v>85.10000000000001</v>
      </c>
      <c r="P19" s="1">
        <f t="shared" si="3"/>
        <v>0.7068241222939522</v>
      </c>
      <c r="Q19" s="1">
        <f t="shared" si="4"/>
        <v>0.2931758777060478</v>
      </c>
    </row>
    <row r="20" spans="1:17" ht="12.75">
      <c r="A20">
        <f t="shared" si="5"/>
        <v>2002</v>
      </c>
      <c r="C20">
        <v>52.7</v>
      </c>
      <c r="E20" s="9">
        <v>899.5</v>
      </c>
      <c r="F20" s="9">
        <v>101</v>
      </c>
      <c r="G20">
        <f t="shared" si="0"/>
        <v>0.12648716343143393</v>
      </c>
      <c r="I20">
        <f t="shared" si="1"/>
        <v>59.36587351283657</v>
      </c>
      <c r="K20" s="10">
        <v>16.7</v>
      </c>
      <c r="L20">
        <v>1.4</v>
      </c>
      <c r="N20" s="10">
        <f t="shared" si="2"/>
        <v>84.7</v>
      </c>
      <c r="P20" s="1">
        <f t="shared" si="3"/>
        <v>0.700895791178708</v>
      </c>
      <c r="Q20" s="1">
        <f t="shared" si="4"/>
        <v>0.29910420882129196</v>
      </c>
    </row>
    <row r="22" ht="12.75">
      <c r="A22" t="s">
        <v>259</v>
      </c>
    </row>
    <row r="23" ht="12.75">
      <c r="A23" t="s">
        <v>22</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D1" sqref="D1:D16384"/>
    </sheetView>
  </sheetViews>
  <sheetFormatPr defaultColWidth="9.140625" defaultRowHeight="12.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A47"/>
  <sheetViews>
    <sheetView workbookViewId="0" topLeftCell="A1">
      <selection activeCell="H16" sqref="H16"/>
    </sheetView>
  </sheetViews>
  <sheetFormatPr defaultColWidth="9.140625" defaultRowHeight="12.75"/>
  <cols>
    <col min="2" max="2" width="13.7109375" style="0" customWidth="1"/>
    <col min="4" max="4" width="13.00390625" style="0" customWidth="1"/>
    <col min="9" max="9" width="15.00390625" style="0" customWidth="1"/>
    <col min="19" max="19" width="12.421875" style="0" bestFit="1" customWidth="1"/>
  </cols>
  <sheetData>
    <row r="1" ht="12.75">
      <c r="A1" t="s">
        <v>501</v>
      </c>
    </row>
    <row r="3" spans="1:27" ht="12.75">
      <c r="A3" s="205"/>
      <c r="B3" s="205" t="s">
        <v>489</v>
      </c>
      <c r="C3" s="205" t="s">
        <v>490</v>
      </c>
      <c r="D3" s="205" t="s">
        <v>491</v>
      </c>
      <c r="E3" s="205" t="s">
        <v>500</v>
      </c>
      <c r="F3" s="205" t="s">
        <v>492</v>
      </c>
      <c r="G3" s="205" t="s">
        <v>492</v>
      </c>
      <c r="H3" s="205"/>
      <c r="I3" s="205" t="s">
        <v>499</v>
      </c>
      <c r="J3" s="205" t="s">
        <v>502</v>
      </c>
      <c r="M3" t="s">
        <v>503</v>
      </c>
      <c r="AA3" t="s">
        <v>81</v>
      </c>
    </row>
    <row r="4" spans="1:10" ht="12.75">
      <c r="A4" s="205"/>
      <c r="B4" s="205" t="s">
        <v>493</v>
      </c>
      <c r="C4" s="205"/>
      <c r="D4" s="205"/>
      <c r="E4" s="205"/>
      <c r="F4" s="205"/>
      <c r="G4" s="205" t="s">
        <v>494</v>
      </c>
      <c r="H4" s="205"/>
      <c r="I4" s="205"/>
      <c r="J4" s="205" t="s">
        <v>495</v>
      </c>
    </row>
    <row r="5" spans="1:27" ht="12.75">
      <c r="A5" s="205"/>
      <c r="B5" s="205" t="s">
        <v>496</v>
      </c>
      <c r="C5" s="205" t="s">
        <v>496</v>
      </c>
      <c r="D5" s="205" t="s">
        <v>496</v>
      </c>
      <c r="E5" s="205" t="s">
        <v>497</v>
      </c>
      <c r="F5" s="205" t="s">
        <v>498</v>
      </c>
      <c r="G5" s="205" t="s">
        <v>498</v>
      </c>
      <c r="H5" s="205"/>
      <c r="I5" s="205"/>
      <c r="J5" s="205"/>
      <c r="N5" s="27"/>
      <c r="O5" s="9"/>
      <c r="S5" s="27"/>
      <c r="U5" s="27"/>
      <c r="V5" s="27"/>
      <c r="W5" s="27"/>
      <c r="AA5" t="e">
        <f aca="true" t="shared" si="0" ref="AA5:AA14">LN(X5)</f>
        <v>#NUM!</v>
      </c>
    </row>
    <row r="6" spans="1:27" ht="12.75">
      <c r="A6" s="205">
        <v>1990</v>
      </c>
      <c r="B6" s="204">
        <v>116978</v>
      </c>
      <c r="C6" s="205"/>
      <c r="D6" s="204">
        <f>+C6+B6</f>
        <v>116978</v>
      </c>
      <c r="E6" s="205"/>
      <c r="F6" s="205"/>
      <c r="G6" s="205"/>
      <c r="H6" s="205"/>
      <c r="I6" s="205"/>
      <c r="J6" s="205"/>
      <c r="N6" s="27"/>
      <c r="O6" s="9"/>
      <c r="S6" s="27"/>
      <c r="U6" s="27"/>
      <c r="V6" s="27"/>
      <c r="W6" s="27"/>
      <c r="AA6" t="e">
        <f t="shared" si="0"/>
        <v>#NUM!</v>
      </c>
    </row>
    <row r="7" spans="1:27" ht="12.75">
      <c r="A7" s="205">
        <v>1991</v>
      </c>
      <c r="B7" s="204">
        <v>220485</v>
      </c>
      <c r="C7" s="205"/>
      <c r="D7" s="204">
        <f aca="true" t="shared" si="1" ref="D7:D19">+C7+B7</f>
        <v>220485</v>
      </c>
      <c r="E7" s="205"/>
      <c r="F7" s="205"/>
      <c r="G7" s="205"/>
      <c r="H7" s="205"/>
      <c r="I7" s="205"/>
      <c r="J7" s="205"/>
      <c r="N7" s="27"/>
      <c r="O7" s="9"/>
      <c r="S7" s="27"/>
      <c r="U7" s="27"/>
      <c r="V7" s="27"/>
      <c r="W7" s="27"/>
      <c r="AA7" t="e">
        <f t="shared" si="0"/>
        <v>#NUM!</v>
      </c>
    </row>
    <row r="8" spans="1:27" ht="12.75">
      <c r="A8" s="205">
        <v>1992</v>
      </c>
      <c r="B8" s="204">
        <v>652814</v>
      </c>
      <c r="C8" s="205"/>
      <c r="D8" s="204">
        <f t="shared" si="1"/>
        <v>652814</v>
      </c>
      <c r="E8" s="205">
        <v>692.1</v>
      </c>
      <c r="F8" s="206">
        <f>+D8/12/E8*1000</f>
        <v>78603.0438761258</v>
      </c>
      <c r="G8" s="205"/>
      <c r="H8" s="205"/>
      <c r="I8" s="206">
        <f>F8</f>
        <v>78603.0438761258</v>
      </c>
      <c r="J8" s="205">
        <v>307.6</v>
      </c>
      <c r="K8" s="1">
        <f>K9/J9*100</f>
        <v>0.5483030896659782</v>
      </c>
      <c r="M8" s="9">
        <f>I8/K8</f>
        <v>143356.92312806434</v>
      </c>
      <c r="N8" s="27"/>
      <c r="O8" s="9"/>
      <c r="S8" s="27"/>
      <c r="U8" s="27"/>
      <c r="V8" s="27"/>
      <c r="W8" s="27"/>
      <c r="AA8" t="e">
        <f t="shared" si="0"/>
        <v>#NUM!</v>
      </c>
    </row>
    <row r="9" spans="1:27" ht="12.75">
      <c r="A9" s="205">
        <v>1993</v>
      </c>
      <c r="B9" s="204">
        <v>861937</v>
      </c>
      <c r="C9" s="205"/>
      <c r="D9" s="204">
        <f t="shared" si="1"/>
        <v>861937</v>
      </c>
      <c r="E9" s="205">
        <v>665.6</v>
      </c>
      <c r="F9" s="206">
        <f aca="true" t="shared" si="2" ref="F9:F19">+D9/12/E9*1000</f>
        <v>107914.78866185897</v>
      </c>
      <c r="G9" s="205"/>
      <c r="H9" s="205"/>
      <c r="I9" s="206">
        <f>F9</f>
        <v>107914.78866185897</v>
      </c>
      <c r="J9" s="205">
        <v>132.8</v>
      </c>
      <c r="K9" s="1">
        <f>K10/J10*100</f>
        <v>0.728146503076419</v>
      </c>
      <c r="M9" s="9">
        <f aca="true" t="shared" si="3" ref="M9:M19">I9/K9</f>
        <v>148204.775008764</v>
      </c>
      <c r="N9" s="27"/>
      <c r="O9" s="9"/>
      <c r="S9" s="27"/>
      <c r="U9" s="27"/>
      <c r="V9" s="27"/>
      <c r="W9" s="27"/>
      <c r="AA9" t="e">
        <f t="shared" si="0"/>
        <v>#NUM!</v>
      </c>
    </row>
    <row r="10" spans="1:27" ht="12.75">
      <c r="A10" s="205">
        <v>1994</v>
      </c>
      <c r="B10" s="204">
        <v>1074494</v>
      </c>
      <c r="C10" s="204">
        <v>3153</v>
      </c>
      <c r="D10" s="204">
        <f t="shared" si="1"/>
        <v>1077647</v>
      </c>
      <c r="E10" s="205">
        <v>647.3</v>
      </c>
      <c r="F10" s="206">
        <f t="shared" si="2"/>
        <v>138736.16046140378</v>
      </c>
      <c r="G10" s="205"/>
      <c r="H10" s="205"/>
      <c r="I10" s="206">
        <f>F10</f>
        <v>138736.16046140378</v>
      </c>
      <c r="J10" s="10">
        <v>121</v>
      </c>
      <c r="K10" s="1">
        <f>K11/J11*100</f>
        <v>0.881057268722467</v>
      </c>
      <c r="M10" s="9">
        <f t="shared" si="3"/>
        <v>157465.54212369327</v>
      </c>
      <c r="N10" s="27"/>
      <c r="O10" s="9"/>
      <c r="S10" s="27"/>
      <c r="U10" s="27"/>
      <c r="V10" s="27"/>
      <c r="W10" s="27"/>
      <c r="AA10" t="e">
        <f t="shared" si="0"/>
        <v>#NUM!</v>
      </c>
    </row>
    <row r="11" spans="1:27" ht="12.75">
      <c r="A11" s="205">
        <v>1995</v>
      </c>
      <c r="B11" s="204">
        <v>1271699</v>
      </c>
      <c r="C11" s="204">
        <v>814</v>
      </c>
      <c r="D11" s="204">
        <f t="shared" si="1"/>
        <v>1272513</v>
      </c>
      <c r="E11" s="205">
        <v>642</v>
      </c>
      <c r="F11" s="206">
        <f t="shared" si="2"/>
        <v>165175.6230529595</v>
      </c>
      <c r="G11" s="206">
        <v>166284</v>
      </c>
      <c r="H11" s="208">
        <f>F11/G11</f>
        <v>0.9933344341786312</v>
      </c>
      <c r="I11" s="206">
        <f aca="true" t="shared" si="4" ref="I11:I16">G11</f>
        <v>166284</v>
      </c>
      <c r="J11" s="205">
        <v>113.5</v>
      </c>
      <c r="K11" s="1">
        <v>1</v>
      </c>
      <c r="M11" s="9">
        <f t="shared" si="3"/>
        <v>166284</v>
      </c>
      <c r="N11" s="27"/>
      <c r="O11" s="9"/>
      <c r="S11" s="27"/>
      <c r="U11" s="27"/>
      <c r="V11" s="27"/>
      <c r="W11" s="27"/>
      <c r="AA11" t="e">
        <f t="shared" si="0"/>
        <v>#NUM!</v>
      </c>
    </row>
    <row r="12" spans="1:27" ht="12.75">
      <c r="A12" s="205">
        <v>1996</v>
      </c>
      <c r="B12" s="204">
        <v>1400005</v>
      </c>
      <c r="C12" s="204">
        <v>14997</v>
      </c>
      <c r="D12" s="204">
        <f t="shared" si="1"/>
        <v>1415002</v>
      </c>
      <c r="E12" s="205">
        <v>634.7</v>
      </c>
      <c r="F12" s="206">
        <f t="shared" si="2"/>
        <v>185783.57229137124</v>
      </c>
      <c r="G12" s="206">
        <v>189480</v>
      </c>
      <c r="H12" s="208"/>
      <c r="I12" s="206">
        <f t="shared" si="4"/>
        <v>189480</v>
      </c>
      <c r="J12" s="205">
        <v>109.9</v>
      </c>
      <c r="K12" s="1">
        <f>K11*J12/100</f>
        <v>1.099</v>
      </c>
      <c r="M12" s="9">
        <f t="shared" si="3"/>
        <v>172411.2829845314</v>
      </c>
      <c r="N12" s="27"/>
      <c r="O12" s="9"/>
      <c r="S12" s="27"/>
      <c r="U12" s="27"/>
      <c r="V12" s="27"/>
      <c r="W12" s="27"/>
      <c r="AA12" t="e">
        <f t="shared" si="0"/>
        <v>#NUM!</v>
      </c>
    </row>
    <row r="13" spans="1:27" ht="12.75">
      <c r="A13" s="205">
        <v>1997</v>
      </c>
      <c r="B13" s="204">
        <v>1558696</v>
      </c>
      <c r="C13" s="204">
        <v>34093</v>
      </c>
      <c r="D13" s="204">
        <f t="shared" si="1"/>
        <v>1592789</v>
      </c>
      <c r="E13" s="205">
        <v>651.2</v>
      </c>
      <c r="F13" s="206">
        <f t="shared" si="2"/>
        <v>203827.42117117115</v>
      </c>
      <c r="G13" s="206">
        <v>210147</v>
      </c>
      <c r="H13" s="208"/>
      <c r="I13" s="206">
        <f t="shared" si="4"/>
        <v>210147</v>
      </c>
      <c r="J13" s="205">
        <v>108.4</v>
      </c>
      <c r="K13" s="1">
        <f aca="true" t="shared" si="5" ref="K13:K19">K12*J13/100</f>
        <v>1.191316</v>
      </c>
      <c r="M13" s="9">
        <f t="shared" si="3"/>
        <v>176399.0410604743</v>
      </c>
      <c r="N13" s="27"/>
      <c r="O13" s="9"/>
      <c r="S13" s="27"/>
      <c r="U13" s="27"/>
      <c r="V13" s="27"/>
      <c r="W13" s="27"/>
      <c r="AA13" t="e">
        <f t="shared" si="0"/>
        <v>#NUM!</v>
      </c>
    </row>
    <row r="14" spans="1:27" ht="12.75">
      <c r="A14" s="205">
        <v>1998</v>
      </c>
      <c r="B14" s="204">
        <v>1700323</v>
      </c>
      <c r="C14" s="204">
        <v>42210</v>
      </c>
      <c r="D14" s="204">
        <f t="shared" si="1"/>
        <v>1742533</v>
      </c>
      <c r="E14" s="205">
        <v>652.5</v>
      </c>
      <c r="F14" s="206">
        <f t="shared" si="2"/>
        <v>222545.72158365263</v>
      </c>
      <c r="G14" s="206">
        <v>231622</v>
      </c>
      <c r="H14" s="208"/>
      <c r="I14" s="206">
        <f t="shared" si="4"/>
        <v>231622</v>
      </c>
      <c r="J14" s="205">
        <v>107.9</v>
      </c>
      <c r="K14" s="1">
        <f t="shared" si="5"/>
        <v>1.2854299640000002</v>
      </c>
      <c r="M14" s="9">
        <f t="shared" si="3"/>
        <v>180190.29156535203</v>
      </c>
      <c r="N14" s="27"/>
      <c r="O14" s="9"/>
      <c r="S14" s="27"/>
      <c r="U14" s="27"/>
      <c r="V14" s="27"/>
      <c r="W14" s="27"/>
      <c r="AA14" t="e">
        <f t="shared" si="0"/>
        <v>#NUM!</v>
      </c>
    </row>
    <row r="15" spans="1:23" ht="12.75">
      <c r="A15" s="205">
        <v>1999</v>
      </c>
      <c r="B15" s="204">
        <v>1889714</v>
      </c>
      <c r="C15" s="204">
        <v>51641</v>
      </c>
      <c r="D15" s="204">
        <f t="shared" si="1"/>
        <v>1941355</v>
      </c>
      <c r="E15" s="205">
        <v>670.9</v>
      </c>
      <c r="F15" s="206">
        <f t="shared" si="2"/>
        <v>241138.14776171316</v>
      </c>
      <c r="G15" s="206">
        <v>252986</v>
      </c>
      <c r="H15" s="208"/>
      <c r="I15" s="206">
        <f t="shared" si="4"/>
        <v>252986</v>
      </c>
      <c r="J15" s="205">
        <v>106.1</v>
      </c>
      <c r="K15" s="1">
        <f t="shared" si="5"/>
        <v>1.363841191804</v>
      </c>
      <c r="M15" s="9">
        <f t="shared" si="3"/>
        <v>185495.20392866756</v>
      </c>
      <c r="N15" s="27"/>
      <c r="O15" s="9"/>
      <c r="S15" s="27"/>
      <c r="U15" s="1"/>
      <c r="V15" s="1"/>
      <c r="W15" s="1"/>
    </row>
    <row r="16" spans="1:13" ht="12.75">
      <c r="A16" s="205">
        <v>2000</v>
      </c>
      <c r="B16" s="204">
        <v>2233795</v>
      </c>
      <c r="C16" s="204">
        <v>64081</v>
      </c>
      <c r="D16" s="204">
        <f t="shared" si="1"/>
        <v>2297876</v>
      </c>
      <c r="E16" s="205">
        <v>683</v>
      </c>
      <c r="F16" s="206">
        <f t="shared" si="2"/>
        <v>280365.5441678868</v>
      </c>
      <c r="G16" s="206">
        <v>280105</v>
      </c>
      <c r="H16" s="208">
        <f>F16/G16</f>
        <v>1.0009301660730325</v>
      </c>
      <c r="I16" s="206">
        <f t="shared" si="4"/>
        <v>280105</v>
      </c>
      <c r="J16" s="205">
        <v>108.9</v>
      </c>
      <c r="K16" s="1">
        <f t="shared" si="5"/>
        <v>1.4852230578745562</v>
      </c>
      <c r="M16" s="9">
        <f t="shared" si="3"/>
        <v>188594.567337816</v>
      </c>
    </row>
    <row r="17" spans="1:13" ht="12.75">
      <c r="A17" s="205">
        <v>2001</v>
      </c>
      <c r="B17" s="204">
        <v>2518626</v>
      </c>
      <c r="C17" s="204">
        <v>79317</v>
      </c>
      <c r="D17" s="204">
        <f t="shared" si="1"/>
        <v>2597943</v>
      </c>
      <c r="E17" s="205">
        <v>694.8</v>
      </c>
      <c r="F17" s="206">
        <f t="shared" si="2"/>
        <v>311593.624064479</v>
      </c>
      <c r="G17" s="205"/>
      <c r="H17" s="205"/>
      <c r="I17" s="206">
        <f>F17</f>
        <v>311593.624064479</v>
      </c>
      <c r="J17" s="205">
        <v>108.4</v>
      </c>
      <c r="K17" s="1">
        <f t="shared" si="5"/>
        <v>1.609981794736019</v>
      </c>
      <c r="M17" s="9">
        <f t="shared" si="3"/>
        <v>193538.6009228567</v>
      </c>
    </row>
    <row r="18" spans="1:27" ht="12.75">
      <c r="A18" s="205">
        <v>2002</v>
      </c>
      <c r="B18" s="204">
        <v>2777896</v>
      </c>
      <c r="C18" s="204">
        <v>89170</v>
      </c>
      <c r="D18" s="204">
        <f t="shared" si="1"/>
        <v>2867066</v>
      </c>
      <c r="E18" s="205">
        <v>697.9</v>
      </c>
      <c r="F18" s="206">
        <f t="shared" si="2"/>
        <v>342344.41419496585</v>
      </c>
      <c r="G18" s="205"/>
      <c r="H18" s="205"/>
      <c r="I18" s="206">
        <f>F18</f>
        <v>342344.41419496585</v>
      </c>
      <c r="J18" s="205">
        <v>107.5</v>
      </c>
      <c r="K18" s="1">
        <f t="shared" si="5"/>
        <v>1.7307304293412205</v>
      </c>
      <c r="M18" s="9">
        <f t="shared" si="3"/>
        <v>197803.42934472742</v>
      </c>
      <c r="AA18" s="9"/>
    </row>
    <row r="19" spans="1:13" ht="12.75">
      <c r="A19" s="205">
        <v>2003</v>
      </c>
      <c r="B19" s="204">
        <v>3004432.54178088</v>
      </c>
      <c r="C19" s="204">
        <v>102968</v>
      </c>
      <c r="D19" s="204">
        <f t="shared" si="1"/>
        <v>3107400.54178088</v>
      </c>
      <c r="E19" s="205">
        <v>699.1</v>
      </c>
      <c r="F19" s="206">
        <f t="shared" si="2"/>
        <v>370404.8707601297</v>
      </c>
      <c r="G19" s="205"/>
      <c r="H19" s="205"/>
      <c r="I19" s="206">
        <f>F19</f>
        <v>370404.8707601297</v>
      </c>
      <c r="J19" s="205">
        <v>105.6</v>
      </c>
      <c r="K19" s="1">
        <f t="shared" si="5"/>
        <v>1.8276513333843285</v>
      </c>
      <c r="M19" s="9">
        <f t="shared" si="3"/>
        <v>202667.14115226647</v>
      </c>
    </row>
    <row r="21" spans="1:15" ht="12.75">
      <c r="A21" t="s">
        <v>488</v>
      </c>
      <c r="E21" s="9"/>
      <c r="F21" s="9"/>
      <c r="I21" s="9"/>
      <c r="J21" s="9"/>
      <c r="N21" s="27"/>
      <c r="O21" s="9"/>
    </row>
    <row r="22" spans="5:15" ht="12.75">
      <c r="E22" s="9"/>
      <c r="F22" s="9"/>
      <c r="I22" s="9"/>
      <c r="J22" s="1"/>
      <c r="N22" s="27"/>
      <c r="O22" s="9"/>
    </row>
    <row r="23" spans="5:15" ht="12.75">
      <c r="E23" s="9"/>
      <c r="F23" s="9"/>
      <c r="I23" s="9"/>
      <c r="J23" s="1"/>
      <c r="N23" s="27"/>
      <c r="O23" s="9"/>
    </row>
    <row r="24" spans="5:15" ht="12.75">
      <c r="E24" s="9"/>
      <c r="F24" s="9"/>
      <c r="I24" s="9"/>
      <c r="J24" s="1"/>
      <c r="N24" s="27"/>
      <c r="O24" s="9"/>
    </row>
    <row r="25" spans="5:15" ht="12.75">
      <c r="E25" s="9"/>
      <c r="F25" s="9"/>
      <c r="I25" s="9"/>
      <c r="J25" s="1"/>
      <c r="N25" s="27"/>
      <c r="O25" s="9"/>
    </row>
    <row r="26" spans="5:15" ht="12.75">
      <c r="E26" s="9"/>
      <c r="F26" s="9"/>
      <c r="I26" s="9"/>
      <c r="J26" s="1"/>
      <c r="N26" s="27"/>
      <c r="O26" s="9"/>
    </row>
    <row r="27" spans="5:15" ht="12.75">
      <c r="E27" s="9"/>
      <c r="F27" s="9"/>
      <c r="I27" s="9"/>
      <c r="J27" s="1"/>
      <c r="N27" s="27"/>
      <c r="O27" s="9"/>
    </row>
    <row r="28" spans="5:15" ht="12.75">
      <c r="E28" s="9"/>
      <c r="F28" s="9"/>
      <c r="I28" s="9"/>
      <c r="J28" s="1"/>
      <c r="N28" s="27"/>
      <c r="O28" s="9"/>
    </row>
    <row r="29" spans="5:15" ht="12.75">
      <c r="E29" s="9"/>
      <c r="F29" s="9"/>
      <c r="I29" s="9"/>
      <c r="J29" s="1"/>
      <c r="N29" s="27"/>
      <c r="O29" s="9"/>
    </row>
    <row r="30" spans="5:15" ht="12.75">
      <c r="E30" s="9"/>
      <c r="F30" s="9"/>
      <c r="I30" s="9"/>
      <c r="J30" s="1"/>
      <c r="N30" s="27"/>
      <c r="O30" s="9"/>
    </row>
    <row r="31" spans="5:15" ht="12.75">
      <c r="E31" s="9"/>
      <c r="F31" s="9"/>
      <c r="I31" s="9"/>
      <c r="J31" s="1"/>
      <c r="N31" s="27"/>
      <c r="O31" s="9"/>
    </row>
    <row r="37" spans="5:15" ht="12.75">
      <c r="E37" s="9"/>
      <c r="F37" s="9"/>
      <c r="I37" s="9"/>
      <c r="J37" s="9"/>
      <c r="N37" s="27"/>
      <c r="O37" s="9"/>
    </row>
    <row r="38" spans="5:15" ht="12.75">
      <c r="E38" s="9"/>
      <c r="F38" s="9"/>
      <c r="I38" s="9"/>
      <c r="J38" s="1"/>
      <c r="N38" s="27"/>
      <c r="O38" s="9"/>
    </row>
    <row r="39" spans="5:15" ht="12.75">
      <c r="E39" s="9"/>
      <c r="F39" s="9"/>
      <c r="I39" s="9"/>
      <c r="J39" s="1"/>
      <c r="N39" s="27"/>
      <c r="O39" s="9"/>
    </row>
    <row r="40" spans="5:15" ht="12.75">
      <c r="E40" s="9"/>
      <c r="F40" s="9"/>
      <c r="I40" s="9"/>
      <c r="J40" s="1"/>
      <c r="N40" s="27"/>
      <c r="O40" s="9"/>
    </row>
    <row r="41" spans="5:15" ht="12.75">
      <c r="E41" s="9"/>
      <c r="F41" s="9"/>
      <c r="I41" s="9"/>
      <c r="J41" s="1"/>
      <c r="N41" s="27"/>
      <c r="O41" s="9"/>
    </row>
    <row r="42" spans="5:15" ht="12.75">
      <c r="E42" s="9"/>
      <c r="F42" s="9"/>
      <c r="I42" s="9"/>
      <c r="J42" s="1"/>
      <c r="N42" s="27"/>
      <c r="O42" s="9"/>
    </row>
    <row r="43" spans="5:15" ht="12.75">
      <c r="E43" s="9"/>
      <c r="F43" s="9"/>
      <c r="I43" s="9"/>
      <c r="J43" s="1"/>
      <c r="N43" s="27"/>
      <c r="O43" s="9"/>
    </row>
    <row r="44" spans="5:15" ht="12.75">
      <c r="E44" s="9"/>
      <c r="F44" s="9"/>
      <c r="I44" s="9"/>
      <c r="J44" s="1"/>
      <c r="N44" s="27"/>
      <c r="O44" s="9"/>
    </row>
    <row r="45" spans="5:15" ht="12.75">
      <c r="E45" s="9"/>
      <c r="F45" s="9"/>
      <c r="I45" s="9"/>
      <c r="J45" s="1"/>
      <c r="N45" s="27"/>
      <c r="O45" s="9"/>
    </row>
    <row r="46" spans="5:15" ht="12.75">
      <c r="E46" s="9"/>
      <c r="F46" s="9"/>
      <c r="I46" s="9"/>
      <c r="J46" s="1"/>
      <c r="N46" s="27"/>
      <c r="O46" s="9"/>
    </row>
    <row r="47" spans="5:15" ht="12.75">
      <c r="E47" s="9"/>
      <c r="F47" s="9"/>
      <c r="I47" s="9"/>
      <c r="J47" s="1"/>
      <c r="N47" s="27"/>
      <c r="O47" s="9"/>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V155"/>
  <sheetViews>
    <sheetView workbookViewId="0" topLeftCell="A1">
      <selection activeCell="L8" sqref="L8"/>
    </sheetView>
  </sheetViews>
  <sheetFormatPr defaultColWidth="9.140625" defaultRowHeight="12.75"/>
  <cols>
    <col min="1" max="4" width="9.140625" style="13" customWidth="1"/>
    <col min="5" max="5" width="14.57421875" style="13" customWidth="1"/>
    <col min="6" max="11" width="9.140625" style="13" customWidth="1"/>
    <col min="12" max="12" width="19.8515625" style="13" customWidth="1"/>
    <col min="13" max="13" width="16.8515625" style="13" customWidth="1"/>
    <col min="14" max="14" width="13.28125" style="13" customWidth="1"/>
    <col min="15" max="15" width="9.421875" style="13" customWidth="1"/>
    <col min="16" max="16384" width="9.140625" style="13" customWidth="1"/>
  </cols>
  <sheetData>
    <row r="1" spans="1:21" ht="12.75">
      <c r="A1" s="22" t="s">
        <v>70</v>
      </c>
      <c r="U1" s="22"/>
    </row>
    <row r="2" ht="12.75">
      <c r="A2" s="22"/>
    </row>
    <row r="3" spans="1:17" ht="12.75">
      <c r="A3" s="22" t="s">
        <v>264</v>
      </c>
      <c r="J3" s="22" t="s">
        <v>71</v>
      </c>
      <c r="K3" s="22"/>
      <c r="L3" s="22"/>
      <c r="M3" s="22" t="s">
        <v>276</v>
      </c>
      <c r="Q3" s="22"/>
    </row>
    <row r="4" spans="21:22" ht="12.75">
      <c r="U4" s="20"/>
      <c r="V4" s="20"/>
    </row>
    <row r="5" spans="3:22" ht="12.75">
      <c r="C5" s="13" t="s">
        <v>44</v>
      </c>
      <c r="D5" s="13" t="s">
        <v>45</v>
      </c>
      <c r="E5" s="13" t="s">
        <v>46</v>
      </c>
      <c r="F5" s="13" t="s">
        <v>47</v>
      </c>
      <c r="G5" s="22" t="s">
        <v>26</v>
      </c>
      <c r="H5" s="22" t="s">
        <v>27</v>
      </c>
      <c r="I5" s="22"/>
      <c r="J5" s="22" t="s">
        <v>73</v>
      </c>
      <c r="K5" s="22" t="s">
        <v>261</v>
      </c>
      <c r="L5" s="22" t="s">
        <v>461</v>
      </c>
      <c r="M5" s="22" t="s">
        <v>72</v>
      </c>
      <c r="N5" s="22" t="s">
        <v>48</v>
      </c>
      <c r="O5" s="22" t="s">
        <v>51</v>
      </c>
      <c r="U5" s="20"/>
      <c r="V5" s="20"/>
    </row>
    <row r="6" spans="21:22" ht="12.75">
      <c r="U6" s="20"/>
      <c r="V6" s="20"/>
    </row>
    <row r="7" spans="1:22" ht="12.75">
      <c r="A7" s="13">
        <v>1993</v>
      </c>
      <c r="C7" s="14">
        <v>2164094.5580999996</v>
      </c>
      <c r="D7" s="15">
        <v>886.7661316098731</v>
      </c>
      <c r="E7" s="16">
        <v>3676171260.4204464</v>
      </c>
      <c r="F7" s="19">
        <v>1</v>
      </c>
      <c r="G7" s="15">
        <v>0.7</v>
      </c>
      <c r="H7" s="15">
        <f>1-G7</f>
        <v>0.30000000000000004</v>
      </c>
      <c r="J7" s="17"/>
      <c r="K7" s="17">
        <v>1</v>
      </c>
      <c r="L7" s="17"/>
      <c r="M7" s="18"/>
      <c r="Q7" s="20"/>
      <c r="R7" s="20"/>
      <c r="S7" s="20"/>
      <c r="U7" s="20"/>
      <c r="V7" s="20"/>
    </row>
    <row r="8" spans="1:22" ht="12.75">
      <c r="A8" s="13">
        <f aca="true" t="shared" si="0" ref="A8:A16">A7+1</f>
        <v>1994</v>
      </c>
      <c r="C8" s="14">
        <v>2279186.31</v>
      </c>
      <c r="D8" s="15">
        <v>883.2190670834336</v>
      </c>
      <c r="E8" s="16">
        <v>3819331627.888913</v>
      </c>
      <c r="F8" s="19">
        <v>1.0148890069781498</v>
      </c>
      <c r="G8" s="15">
        <f>G7</f>
        <v>0.7</v>
      </c>
      <c r="H8" s="15">
        <f aca="true" t="shared" si="1" ref="H8:H16">1-G8</f>
        <v>0.30000000000000004</v>
      </c>
      <c r="J8" s="19">
        <f>LN(C8/C7)-(H8+H7)/2*LN(E8/E7)-(G8+G7)/2*LN(D8/D7)-(G8+G7)/2*LN(F8/F7)</f>
        <v>0.03281548443577432</v>
      </c>
      <c r="K8" s="19">
        <f>K7*(1+J8)</f>
        <v>1.0328154844357744</v>
      </c>
      <c r="L8" s="19">
        <f>(C8-C7)/C7</f>
        <v>0.05318240437749037</v>
      </c>
      <c r="M8" s="19">
        <f>(G8+G7)/2*LN(D8/D7)</f>
        <v>-0.002805614978277175</v>
      </c>
      <c r="N8" s="19">
        <f>(H8+H7)/2*LN(E8/E7)</f>
        <v>0.011461094574865677</v>
      </c>
      <c r="O8" s="19">
        <f>(G8+G7)/2*LN(F8/F7)</f>
        <v>0.010345477648392552</v>
      </c>
      <c r="Q8" s="20"/>
      <c r="R8" s="20"/>
      <c r="S8" s="20"/>
      <c r="U8" s="20"/>
      <c r="V8" s="20"/>
    </row>
    <row r="9" spans="1:22" ht="12.75">
      <c r="A9" s="13">
        <f t="shared" si="0"/>
        <v>1995</v>
      </c>
      <c r="C9" s="14">
        <v>2372657</v>
      </c>
      <c r="D9" s="15">
        <v>892.4170113007934</v>
      </c>
      <c r="E9" s="16">
        <v>4022354755.797245</v>
      </c>
      <c r="F9" s="19">
        <v>1.0225740820197315</v>
      </c>
      <c r="G9" s="15">
        <f aca="true" t="shared" si="2" ref="G9:G16">G8</f>
        <v>0.7</v>
      </c>
      <c r="H9" s="15">
        <f t="shared" si="1"/>
        <v>0.30000000000000004</v>
      </c>
      <c r="J9" s="19">
        <f aca="true" t="shared" si="3" ref="J9:J16">LN(C9/C8)-(H9+H8)/2*LN(E9/E8)-(G9+G8)/2*LN(D9/D8)-(G9+G8)/2*LN(F9/F8)</f>
        <v>0.012121465720113717</v>
      </c>
      <c r="K9" s="19">
        <f aca="true" t="shared" si="4" ref="K9:K16">K8*(1+J9)</f>
        <v>1.0453347219255653</v>
      </c>
      <c r="L9" s="19">
        <f aca="true" t="shared" si="5" ref="L9:L16">(C9-C8)/C8</f>
        <v>0.041010552577423975</v>
      </c>
      <c r="M9" s="19">
        <f aca="true" t="shared" si="6" ref="M9:M16">(G9+G8)/2*LN(D9/D8)</f>
        <v>0.007252182607323021</v>
      </c>
      <c r="N9" s="19">
        <f aca="true" t="shared" si="7" ref="N9:N16">(H9+H8)/2*LN(E9/E8)</f>
        <v>0.015537615150047365</v>
      </c>
      <c r="O9" s="19">
        <f aca="true" t="shared" si="8" ref="O9:O16">(G9+G8)/2*LN(F9/F8)</f>
        <v>0.005280663065951816</v>
      </c>
      <c r="P9" s="19"/>
      <c r="Q9" s="20"/>
      <c r="R9" s="20"/>
      <c r="S9" s="20"/>
      <c r="U9" s="20"/>
      <c r="V9" s="20"/>
    </row>
    <row r="10" spans="1:22" ht="12.75">
      <c r="A10" s="13">
        <f t="shared" si="0"/>
        <v>1996</v>
      </c>
      <c r="C10" s="14">
        <v>2460053.201082056</v>
      </c>
      <c r="D10" s="15">
        <v>883.7601226256311</v>
      </c>
      <c r="E10" s="16">
        <v>4265435055.1898003</v>
      </c>
      <c r="F10" s="19">
        <v>1.027114026869144</v>
      </c>
      <c r="G10" s="15">
        <f t="shared" si="2"/>
        <v>0.7</v>
      </c>
      <c r="H10" s="15">
        <f t="shared" si="1"/>
        <v>0.30000000000000004</v>
      </c>
      <c r="J10" s="19">
        <f t="shared" si="3"/>
        <v>0.022292115265500286</v>
      </c>
      <c r="K10" s="19">
        <f t="shared" si="4"/>
        <v>1.0686374440377597</v>
      </c>
      <c r="L10" s="19">
        <f t="shared" si="5"/>
        <v>0.036834738894857506</v>
      </c>
      <c r="M10" s="19">
        <f t="shared" si="6"/>
        <v>-0.006823497432555865</v>
      </c>
      <c r="N10" s="19">
        <f t="shared" si="7"/>
        <v>0.01760300710757192</v>
      </c>
      <c r="O10" s="19">
        <f t="shared" si="8"/>
        <v>0.0031009269925751765</v>
      </c>
      <c r="P10" s="19"/>
      <c r="Q10" s="20"/>
      <c r="R10" s="20"/>
      <c r="S10" s="20"/>
      <c r="U10" s="20"/>
      <c r="V10" s="20"/>
    </row>
    <row r="11" spans="1:22" ht="12.75">
      <c r="A11" s="13">
        <f t="shared" si="0"/>
        <v>1997</v>
      </c>
      <c r="C11" s="14">
        <v>2577569.717021164</v>
      </c>
      <c r="D11" s="15">
        <v>879.2152560711709</v>
      </c>
      <c r="E11" s="16">
        <v>4563783165.652029</v>
      </c>
      <c r="F11" s="19">
        <v>1.0449279443408852</v>
      </c>
      <c r="G11" s="15">
        <f t="shared" si="2"/>
        <v>0.7</v>
      </c>
      <c r="H11" s="15">
        <f t="shared" si="1"/>
        <v>0.30000000000000004</v>
      </c>
      <c r="J11" s="19">
        <f t="shared" si="3"/>
        <v>0.017954344675693994</v>
      </c>
      <c r="K11" s="19">
        <f t="shared" si="4"/>
        <v>1.0878241290413664</v>
      </c>
      <c r="L11" s="19">
        <f t="shared" si="5"/>
        <v>0.04776990834483514</v>
      </c>
      <c r="M11" s="19">
        <f t="shared" si="6"/>
        <v>-0.0036091413122362383</v>
      </c>
      <c r="N11" s="19">
        <f t="shared" si="7"/>
        <v>0.020282321852021407</v>
      </c>
      <c r="O11" s="19">
        <f t="shared" si="8"/>
        <v>0.012036483471986336</v>
      </c>
      <c r="P11" s="19"/>
      <c r="Q11" s="20"/>
      <c r="R11" s="20"/>
      <c r="S11" s="20"/>
      <c r="U11" s="20"/>
      <c r="V11" s="20"/>
    </row>
    <row r="12" spans="1:22" ht="12.75">
      <c r="A12" s="13">
        <f t="shared" si="0"/>
        <v>1998</v>
      </c>
      <c r="C12" s="14">
        <v>2668803.591600994</v>
      </c>
      <c r="D12" s="15">
        <v>879.3234671796105</v>
      </c>
      <c r="E12" s="16">
        <v>4901238581.613424</v>
      </c>
      <c r="F12" s="19">
        <v>1.0705588421125383</v>
      </c>
      <c r="G12" s="15">
        <f t="shared" si="2"/>
        <v>0.7</v>
      </c>
      <c r="H12" s="15">
        <f t="shared" si="1"/>
        <v>0.30000000000000004</v>
      </c>
      <c r="J12" s="19">
        <f t="shared" si="3"/>
        <v>-0.003666666534414123</v>
      </c>
      <c r="K12" s="19">
        <f t="shared" si="4"/>
        <v>1.0838354407120823</v>
      </c>
      <c r="L12" s="19">
        <f t="shared" si="5"/>
        <v>0.035395308215083666</v>
      </c>
      <c r="M12" s="19">
        <f t="shared" si="6"/>
        <v>8.61485448138095E-05</v>
      </c>
      <c r="N12" s="19">
        <f t="shared" si="7"/>
        <v>0.021400807133617836</v>
      </c>
      <c r="O12" s="19">
        <f t="shared" si="8"/>
        <v>0.016963004957112497</v>
      </c>
      <c r="P12" s="19"/>
      <c r="Q12" s="20"/>
      <c r="R12" s="20"/>
      <c r="S12" s="20"/>
      <c r="U12" s="20"/>
      <c r="V12" s="20"/>
    </row>
    <row r="13" spans="1:22" ht="12.75">
      <c r="A13" s="13">
        <f t="shared" si="0"/>
        <v>1999</v>
      </c>
      <c r="C13" s="14">
        <v>2818198.9676663172</v>
      </c>
      <c r="D13" s="15">
        <v>890.1445780235634</v>
      </c>
      <c r="E13" s="16">
        <v>5356531196.819725</v>
      </c>
      <c r="F13" s="19">
        <v>1.0922249230438312</v>
      </c>
      <c r="G13" s="15">
        <f t="shared" si="2"/>
        <v>0.7</v>
      </c>
      <c r="H13" s="15">
        <f t="shared" si="1"/>
        <v>0.30000000000000004</v>
      </c>
      <c r="J13" s="19">
        <f t="shared" si="3"/>
        <v>0.005232166099968466</v>
      </c>
      <c r="K13" s="19">
        <f t="shared" si="4"/>
        <v>1.0895062477629205</v>
      </c>
      <c r="L13" s="19">
        <f t="shared" si="5"/>
        <v>0.05597840790363371</v>
      </c>
      <c r="M13" s="19">
        <f t="shared" si="6"/>
        <v>0.008561750569888215</v>
      </c>
      <c r="N13" s="19">
        <f t="shared" si="7"/>
        <v>0.0266485967627198</v>
      </c>
      <c r="O13" s="19">
        <f t="shared" si="8"/>
        <v>0.014025224581496238</v>
      </c>
      <c r="P13" s="19"/>
      <c r="Q13" s="20"/>
      <c r="R13" s="20"/>
      <c r="S13" s="20"/>
      <c r="U13" s="20"/>
      <c r="V13" s="20"/>
    </row>
    <row r="14" spans="1:22" ht="12.75">
      <c r="A14" s="13">
        <f t="shared" si="0"/>
        <v>2000</v>
      </c>
      <c r="C14" s="14">
        <v>2928821.050097774</v>
      </c>
      <c r="D14" s="15">
        <v>900.1</v>
      </c>
      <c r="E14" s="16">
        <v>5782749177.526379</v>
      </c>
      <c r="F14" s="19">
        <v>1.1105085077175016</v>
      </c>
      <c r="G14" s="15">
        <f t="shared" si="2"/>
        <v>0.7</v>
      </c>
      <c r="H14" s="15">
        <f t="shared" si="1"/>
        <v>0.30000000000000004</v>
      </c>
      <c r="J14" s="19">
        <f t="shared" si="3"/>
        <v>-0.003873045586752653</v>
      </c>
      <c r="K14" s="19">
        <f t="shared" si="4"/>
        <v>1.085286540398283</v>
      </c>
      <c r="L14" s="19">
        <f t="shared" si="5"/>
        <v>0.03925275812696079</v>
      </c>
      <c r="M14" s="19">
        <f t="shared" si="6"/>
        <v>0.007785380058741212</v>
      </c>
      <c r="N14" s="19">
        <f t="shared" si="7"/>
        <v>0.022968781514010345</v>
      </c>
      <c r="O14" s="19">
        <f t="shared" si="8"/>
        <v>0.011620837120156553</v>
      </c>
      <c r="P14" s="19"/>
      <c r="Q14" s="20"/>
      <c r="R14" s="20"/>
      <c r="S14" s="20"/>
      <c r="U14" s="20"/>
      <c r="V14" s="20"/>
    </row>
    <row r="15" spans="1:22" ht="12.75">
      <c r="A15" s="13">
        <f t="shared" si="0"/>
        <v>2001</v>
      </c>
      <c r="C15" s="14">
        <v>3006181.355828385</v>
      </c>
      <c r="D15" s="15">
        <v>904.3</v>
      </c>
      <c r="E15" s="16">
        <v>6211398277.6616955</v>
      </c>
      <c r="F15" s="19">
        <v>1.1270168498481106</v>
      </c>
      <c r="G15" s="15">
        <f t="shared" si="2"/>
        <v>0.7</v>
      </c>
      <c r="H15" s="15">
        <f t="shared" si="1"/>
        <v>0.30000000000000004</v>
      </c>
      <c r="J15" s="19">
        <f t="shared" si="3"/>
        <v>-0.008969417559880972</v>
      </c>
      <c r="K15" s="19">
        <f t="shared" si="4"/>
        <v>1.0755521522453322</v>
      </c>
      <c r="L15" s="19">
        <f t="shared" si="5"/>
        <v>0.026413462757660985</v>
      </c>
      <c r="M15" s="19">
        <f t="shared" si="6"/>
        <v>0.0032587068383763715</v>
      </c>
      <c r="N15" s="19">
        <f t="shared" si="7"/>
        <v>0.02145204906868833</v>
      </c>
      <c r="O15" s="19">
        <f t="shared" si="8"/>
        <v>0.010329312368607874</v>
      </c>
      <c r="P15" s="19"/>
      <c r="Q15" s="20"/>
      <c r="R15" s="20"/>
      <c r="S15" s="20"/>
      <c r="U15" s="20"/>
      <c r="V15" s="20"/>
    </row>
    <row r="16" spans="1:22" ht="12.75">
      <c r="A16" s="13">
        <f t="shared" si="0"/>
        <v>2002</v>
      </c>
      <c r="C16" s="14">
        <v>3106567.710168912</v>
      </c>
      <c r="D16" s="15">
        <v>899.5</v>
      </c>
      <c r="E16" s="16">
        <v>6634780780.866711</v>
      </c>
      <c r="F16" s="19">
        <v>1.1544584044513768</v>
      </c>
      <c r="G16" s="15">
        <f t="shared" si="2"/>
        <v>0.7</v>
      </c>
      <c r="H16" s="15">
        <f t="shared" si="1"/>
        <v>0.30000000000000004</v>
      </c>
      <c r="J16" s="19">
        <f t="shared" si="3"/>
        <v>-4.8528240126077815E-05</v>
      </c>
      <c r="K16" s="19">
        <f t="shared" si="4"/>
        <v>1.07549995759222</v>
      </c>
      <c r="L16" s="19">
        <f t="shared" si="5"/>
        <v>0.033393312797279556</v>
      </c>
      <c r="M16" s="19">
        <f t="shared" si="6"/>
        <v>-0.003725477249092594</v>
      </c>
      <c r="N16" s="19">
        <f t="shared" si="7"/>
        <v>0.019781877403451522</v>
      </c>
      <c r="O16" s="19">
        <f t="shared" si="8"/>
        <v>0.016839993866761625</v>
      </c>
      <c r="P16" s="19"/>
      <c r="Q16" s="20"/>
      <c r="R16" s="20"/>
      <c r="S16" s="20"/>
      <c r="U16" s="20"/>
      <c r="V16" s="20"/>
    </row>
    <row r="17" spans="3:22" ht="12.75">
      <c r="C17" s="14"/>
      <c r="D17" s="15"/>
      <c r="E17" s="16"/>
      <c r="F17" s="19"/>
      <c r="G17" s="15"/>
      <c r="J17" s="19"/>
      <c r="K17" s="19"/>
      <c r="L17" s="19"/>
      <c r="M17" s="21"/>
      <c r="N17" s="19"/>
      <c r="O17" s="19"/>
      <c r="P17" s="19"/>
      <c r="Q17" s="20"/>
      <c r="R17" s="20"/>
      <c r="S17" s="20"/>
      <c r="U17" s="20"/>
      <c r="V17" s="20"/>
    </row>
    <row r="18" spans="1:22" ht="12.75">
      <c r="A18" s="22" t="s">
        <v>262</v>
      </c>
      <c r="C18" s="19">
        <f>EXP(1/9*LN(C16/C7))-1</f>
        <v>0.0409861575526973</v>
      </c>
      <c r="D18" s="19">
        <f>EXP(1/9*LN(D16/D7))-1</f>
        <v>0.0015854519540006162</v>
      </c>
      <c r="E18" s="19">
        <f>EXP(1/9*LN(E16/E7))-1</f>
        <v>0.06780589919221636</v>
      </c>
      <c r="F18" s="19">
        <f>EXP(1/9*LN(F16/F7))-1</f>
        <v>0.016087061123357227</v>
      </c>
      <c r="H18" s="25"/>
      <c r="J18" s="20"/>
      <c r="K18" s="19">
        <f>EXP(1/9*LN(K16/K7))-1</f>
        <v>0.008120082738799717</v>
      </c>
      <c r="L18" s="26"/>
      <c r="M18" s="19">
        <f>AVERAGE(M8:M16)</f>
        <v>0.0011089375163311952</v>
      </c>
      <c r="N18" s="19">
        <f>AVERAGE(N8:N16)</f>
        <v>0.0196817945074438</v>
      </c>
      <c r="O18" s="19">
        <f>AVERAGE(O8:O16)</f>
        <v>0.011171324897004517</v>
      </c>
      <c r="P18" s="19"/>
      <c r="Q18" s="19"/>
      <c r="R18" s="19"/>
      <c r="S18" s="19"/>
      <c r="U18" s="20"/>
      <c r="V18" s="20"/>
    </row>
    <row r="19" spans="1:22" ht="12.75">
      <c r="A19" s="22" t="s">
        <v>274</v>
      </c>
      <c r="C19" s="19"/>
      <c r="D19" s="20">
        <f>D18*G7</f>
        <v>0.0011098163678004312</v>
      </c>
      <c r="E19" s="20">
        <f>E18*H7</f>
        <v>0.02034176975766491</v>
      </c>
      <c r="F19" s="20">
        <f>F18*G7</f>
        <v>0.011260942786350057</v>
      </c>
      <c r="G19" s="20"/>
      <c r="H19" s="209"/>
      <c r="I19" s="20"/>
      <c r="J19" s="20"/>
      <c r="K19" s="20">
        <f>K18</f>
        <v>0.008120082738799717</v>
      </c>
      <c r="L19" s="26"/>
      <c r="M19" s="19"/>
      <c r="N19" s="19"/>
      <c r="O19" s="19"/>
      <c r="P19" s="19"/>
      <c r="Q19" s="19"/>
      <c r="R19" s="19"/>
      <c r="S19" s="19"/>
      <c r="U19" s="20"/>
      <c r="V19" s="20"/>
    </row>
    <row r="20" spans="1:22" ht="12.75">
      <c r="A20" s="22" t="s">
        <v>266</v>
      </c>
      <c r="C20" s="19"/>
      <c r="D20" s="19"/>
      <c r="E20" s="19"/>
      <c r="F20" s="19"/>
      <c r="H20" s="25"/>
      <c r="J20" s="20"/>
      <c r="K20" s="19">
        <f>EXP(1/8*LN(K15/K7))-1</f>
        <v>0.009145839888692997</v>
      </c>
      <c r="L20" s="26"/>
      <c r="M20" s="19"/>
      <c r="N20" s="19"/>
      <c r="O20" s="19"/>
      <c r="P20" s="19"/>
      <c r="Q20" s="19"/>
      <c r="R20" s="19"/>
      <c r="S20" s="19"/>
      <c r="U20" s="20"/>
      <c r="V20" s="20"/>
    </row>
    <row r="21" spans="1:12" ht="15" customHeight="1">
      <c r="A21" s="22" t="s">
        <v>263</v>
      </c>
      <c r="E21" s="13">
        <f>EXP(1/8*LN(E16/E8))-1</f>
        <v>0.07146971705049543</v>
      </c>
      <c r="H21" s="22"/>
      <c r="J21" s="19"/>
      <c r="K21" s="20">
        <f>EXP(1/8*LN(K16/K8))-1</f>
        <v>0.005074968898314269</v>
      </c>
      <c r="L21" s="19"/>
    </row>
    <row r="22" ht="12.75">
      <c r="A22" s="22"/>
    </row>
    <row r="23" spans="1:13" ht="12.75">
      <c r="A23" s="22" t="s">
        <v>265</v>
      </c>
      <c r="J23" s="22" t="s">
        <v>71</v>
      </c>
      <c r="K23" s="22"/>
      <c r="L23" s="22"/>
      <c r="M23" s="22" t="s">
        <v>276</v>
      </c>
    </row>
    <row r="24" ht="12.75">
      <c r="Q24" s="22"/>
    </row>
    <row r="25" spans="3:15" ht="12.75">
      <c r="C25" s="13" t="s">
        <v>44</v>
      </c>
      <c r="D25" s="13" t="s">
        <v>45</v>
      </c>
      <c r="E25" s="13" t="s">
        <v>46</v>
      </c>
      <c r="F25" s="13" t="s">
        <v>47</v>
      </c>
      <c r="G25" s="22" t="s">
        <v>26</v>
      </c>
      <c r="H25" s="22" t="s">
        <v>27</v>
      </c>
      <c r="I25" s="22"/>
      <c r="J25" s="22" t="s">
        <v>73</v>
      </c>
      <c r="K25" s="22" t="s">
        <v>261</v>
      </c>
      <c r="L25" s="22"/>
      <c r="M25" s="22" t="s">
        <v>72</v>
      </c>
      <c r="N25" s="22" t="s">
        <v>48</v>
      </c>
      <c r="O25" s="22" t="s">
        <v>51</v>
      </c>
    </row>
    <row r="27" spans="1:13" ht="12.75">
      <c r="A27" s="13">
        <v>1993</v>
      </c>
      <c r="C27" s="14">
        <v>2164094.5580999996</v>
      </c>
      <c r="D27" s="15">
        <v>886.7661316098731</v>
      </c>
      <c r="E27" s="16">
        <v>3676171260.4204464</v>
      </c>
      <c r="F27" s="19">
        <v>1</v>
      </c>
      <c r="G27" s="15">
        <v>0.7897578030838571</v>
      </c>
      <c r="H27" s="15">
        <v>0.21024219691614288</v>
      </c>
      <c r="J27" s="17"/>
      <c r="K27" s="17">
        <v>1</v>
      </c>
      <c r="L27" s="17"/>
      <c r="M27" s="18"/>
    </row>
    <row r="28" spans="1:19" ht="12.75">
      <c r="A28" s="13">
        <f aca="true" t="shared" si="9" ref="A28:A36">A27+1</f>
        <v>1994</v>
      </c>
      <c r="C28" s="14">
        <v>2279186.31</v>
      </c>
      <c r="D28" s="15">
        <v>883.2190670834336</v>
      </c>
      <c r="E28" s="16">
        <v>3819331627.888913</v>
      </c>
      <c r="F28" s="19">
        <v>1.0148890069781498</v>
      </c>
      <c r="G28" s="15">
        <v>0.7662130964534734</v>
      </c>
      <c r="H28" s="15">
        <v>0.23378690354652665</v>
      </c>
      <c r="J28" s="19">
        <f>LN(C28/C27)-(H28+H27)/2*LN(E28/E27)-(G28+G27)/2*LN(D28/D27)-(G28+G27)/2*LN(F28/F27)</f>
        <v>0.03495481375113909</v>
      </c>
      <c r="K28" s="19">
        <f>K27*(1+J28)</f>
        <v>1.034954813751139</v>
      </c>
      <c r="L28" s="19"/>
      <c r="M28" s="19">
        <f>(G28+G27)/2*LN(D28/D27)</f>
        <v>-0.0031181823296466747</v>
      </c>
      <c r="N28" s="19">
        <f>(H28+H27)/2*LN(E28/E27)</f>
        <v>0.008481765857325314</v>
      </c>
      <c r="O28" s="19">
        <f>(G28+G27)/2*LN(F28/F27)</f>
        <v>0.011498044401937647</v>
      </c>
      <c r="Q28" s="20"/>
      <c r="R28" s="20"/>
      <c r="S28" s="20"/>
    </row>
    <row r="29" spans="1:19" ht="12.75">
      <c r="A29" s="13">
        <f t="shared" si="9"/>
        <v>1995</v>
      </c>
      <c r="C29" s="14">
        <v>2372657</v>
      </c>
      <c r="D29" s="15">
        <v>892.4170113007934</v>
      </c>
      <c r="E29" s="16">
        <v>4022354755.797245</v>
      </c>
      <c r="F29" s="19">
        <v>1.0225740820197315</v>
      </c>
      <c r="G29" s="15">
        <v>0.7637958086015406</v>
      </c>
      <c r="H29" s="15">
        <v>0.23620419139845938</v>
      </c>
      <c r="J29" s="19">
        <f aca="true" t="shared" si="10" ref="J29:J36">LN(C29/C28)-(H29+H28)/2*LN(E29/E28)-(G29+G28)/2*LN(D29/D28)-(G29+G28)/2*LN(F29/F28)</f>
        <v>0.014324335648720668</v>
      </c>
      <c r="K29" s="19">
        <f aca="true" t="shared" si="11" ref="K29:K36">K28*(1+J29)</f>
        <v>1.0497798538845695</v>
      </c>
      <c r="L29" s="19"/>
      <c r="M29" s="19">
        <f aca="true" t="shared" si="12" ref="M29:M36">(G29+G28)/2*LN(D29/D28)</f>
        <v>0.007925645693063794</v>
      </c>
      <c r="N29" s="19">
        <f aca="true" t="shared" si="13" ref="N29:N36">(H29+H28)/2*LN(E29/E28)</f>
        <v>0.012170901262007604</v>
      </c>
      <c r="O29" s="19">
        <f aca="true" t="shared" si="14" ref="O29:O36">(G29+G28)/2*LN(F29/F28)</f>
        <v>0.0057710439396438514</v>
      </c>
      <c r="Q29" s="20"/>
      <c r="R29" s="20"/>
      <c r="S29" s="20"/>
    </row>
    <row r="30" spans="1:19" ht="12.75">
      <c r="A30" s="13">
        <f t="shared" si="9"/>
        <v>1996</v>
      </c>
      <c r="C30" s="14">
        <v>2460053.201082056</v>
      </c>
      <c r="D30" s="15">
        <v>883.7601226256311</v>
      </c>
      <c r="E30" s="16">
        <v>4265435055.1898003</v>
      </c>
      <c r="F30" s="19">
        <v>1.027114026869144</v>
      </c>
      <c r="G30" s="15">
        <v>0.7380134728638381</v>
      </c>
      <c r="H30" s="15">
        <v>0.2619865271361619</v>
      </c>
      <c r="J30" s="19">
        <f t="shared" si="10"/>
        <v>0.025549739837371487</v>
      </c>
      <c r="K30" s="19">
        <f t="shared" si="11"/>
        <v>1.076601456037834</v>
      </c>
      <c r="L30" s="19"/>
      <c r="M30" s="19">
        <f t="shared" si="12"/>
        <v>-0.0073197084116197</v>
      </c>
      <c r="N30" s="19">
        <f t="shared" si="13"/>
        <v>0.014616091265485498</v>
      </c>
      <c r="O30" s="19">
        <f t="shared" si="14"/>
        <v>0.0033264292418542316</v>
      </c>
      <c r="P30" s="19"/>
      <c r="Q30" s="20"/>
      <c r="R30" s="20"/>
      <c r="S30" s="20"/>
    </row>
    <row r="31" spans="1:19" ht="12.75">
      <c r="A31" s="13">
        <f t="shared" si="9"/>
        <v>1997</v>
      </c>
      <c r="C31" s="14">
        <v>2577569.717021164</v>
      </c>
      <c r="D31" s="15">
        <v>879.2152560711709</v>
      </c>
      <c r="E31" s="16">
        <v>4563783165.652029</v>
      </c>
      <c r="F31" s="19">
        <v>1.0449279443408852</v>
      </c>
      <c r="G31" s="15">
        <v>0.7176411286997317</v>
      </c>
      <c r="H31" s="15">
        <v>0.28235887130026827</v>
      </c>
      <c r="J31" s="19">
        <f t="shared" si="10"/>
        <v>0.019500671028024018</v>
      </c>
      <c r="K31" s="19">
        <f t="shared" si="11"/>
        <v>1.0975959068603196</v>
      </c>
      <c r="L31" s="19"/>
      <c r="M31" s="19">
        <f t="shared" si="12"/>
        <v>-0.0037526165420356155</v>
      </c>
      <c r="N31" s="19">
        <f t="shared" si="13"/>
        <v>0.01840098094959084</v>
      </c>
      <c r="O31" s="19">
        <f t="shared" si="14"/>
        <v>0.01251497325188626</v>
      </c>
      <c r="P31" s="19"/>
      <c r="Q31" s="20"/>
      <c r="R31" s="20"/>
      <c r="S31" s="20"/>
    </row>
    <row r="32" spans="1:19" ht="12.75">
      <c r="A32" s="13">
        <f t="shared" si="9"/>
        <v>1998</v>
      </c>
      <c r="C32" s="14">
        <v>2668803.591600994</v>
      </c>
      <c r="D32" s="15">
        <v>879.3234671796105</v>
      </c>
      <c r="E32" s="16">
        <v>4901238581.613424</v>
      </c>
      <c r="F32" s="19">
        <v>1.0705588421125383</v>
      </c>
      <c r="G32" s="15">
        <v>0.7065957310437252</v>
      </c>
      <c r="H32" s="15">
        <v>0.2934042689562748</v>
      </c>
      <c r="J32" s="19">
        <f t="shared" si="10"/>
        <v>-0.0030973416059028574</v>
      </c>
      <c r="K32" s="19">
        <f t="shared" si="11"/>
        <v>1.0941962773915326</v>
      </c>
      <c r="L32" s="19"/>
      <c r="M32" s="19">
        <f t="shared" si="12"/>
        <v>8.763995209792037E-05</v>
      </c>
      <c r="N32" s="19">
        <f t="shared" si="13"/>
        <v>0.020536326532127388</v>
      </c>
      <c r="O32" s="19">
        <f t="shared" si="14"/>
        <v>0.01725666922280757</v>
      </c>
      <c r="P32" s="19"/>
      <c r="Q32" s="20"/>
      <c r="R32" s="20"/>
      <c r="S32" s="20"/>
    </row>
    <row r="33" spans="1:19" ht="12.75">
      <c r="A33" s="13">
        <f t="shared" si="9"/>
        <v>1999</v>
      </c>
      <c r="C33" s="14">
        <v>2818198.9676663172</v>
      </c>
      <c r="D33" s="15">
        <v>890.1445780235634</v>
      </c>
      <c r="E33" s="16">
        <v>5356531196.819725</v>
      </c>
      <c r="F33" s="19">
        <v>1.0922249230438312</v>
      </c>
      <c r="G33" s="15">
        <v>0.7017564358311548</v>
      </c>
      <c r="H33" s="15">
        <v>0.29824356416884523</v>
      </c>
      <c r="J33" s="19">
        <f t="shared" si="10"/>
        <v>0.005468371845924648</v>
      </c>
      <c r="K33" s="19">
        <f t="shared" si="11"/>
        <v>1.1001797495087362</v>
      </c>
      <c r="L33" s="19"/>
      <c r="M33" s="19">
        <f t="shared" si="12"/>
        <v>0.008612828548103076</v>
      </c>
      <c r="N33" s="19">
        <f t="shared" si="13"/>
        <v>0.026277640884147094</v>
      </c>
      <c r="O33" s="19">
        <f t="shared" si="14"/>
        <v>0.0141088967358979</v>
      </c>
      <c r="P33" s="19"/>
      <c r="Q33" s="20"/>
      <c r="R33" s="20"/>
      <c r="S33" s="20"/>
    </row>
    <row r="34" spans="1:19" ht="12.75">
      <c r="A34" s="13">
        <f t="shared" si="9"/>
        <v>2000</v>
      </c>
      <c r="C34" s="14">
        <v>2928821.050097774</v>
      </c>
      <c r="D34" s="15">
        <v>900.1</v>
      </c>
      <c r="E34" s="16">
        <v>5782749177.526379</v>
      </c>
      <c r="F34" s="19">
        <v>1.1105085077175016</v>
      </c>
      <c r="G34" s="15">
        <v>0.6983435359947224</v>
      </c>
      <c r="H34" s="15">
        <v>0.30165646400527757</v>
      </c>
      <c r="J34" s="19">
        <f t="shared" si="10"/>
        <v>-0.00387060430287439</v>
      </c>
      <c r="K34" s="19">
        <f t="shared" si="11"/>
        <v>1.0959213890363524</v>
      </c>
      <c r="L34" s="19"/>
      <c r="M34" s="19">
        <f t="shared" si="12"/>
        <v>0.007785936000640941</v>
      </c>
      <c r="N34" s="19">
        <f t="shared" si="13"/>
        <v>0.022964954462300124</v>
      </c>
      <c r="O34" s="19">
        <f t="shared" si="14"/>
        <v>0.011621666946088783</v>
      </c>
      <c r="P34" s="19"/>
      <c r="Q34" s="20"/>
      <c r="R34" s="20"/>
      <c r="S34" s="20"/>
    </row>
    <row r="35" spans="1:19" ht="12.75">
      <c r="A35" s="13">
        <f t="shared" si="9"/>
        <v>2001</v>
      </c>
      <c r="C35" s="14">
        <v>3006181.355828385</v>
      </c>
      <c r="D35" s="15">
        <v>904.3</v>
      </c>
      <c r="E35" s="16">
        <v>6211398277.6616955</v>
      </c>
      <c r="F35" s="19">
        <v>1.1270168498481106</v>
      </c>
      <c r="G35" s="15">
        <v>0.7068241222939522</v>
      </c>
      <c r="H35" s="15">
        <v>0.2931758777060478</v>
      </c>
      <c r="J35" s="19">
        <f t="shared" si="10"/>
        <v>-0.008834812013688803</v>
      </c>
      <c r="K35" s="19">
        <f t="shared" si="11"/>
        <v>1.0862391295824354</v>
      </c>
      <c r="L35" s="19"/>
      <c r="M35" s="19">
        <f t="shared" si="12"/>
        <v>0.0032707353265218693</v>
      </c>
      <c r="N35" s="19">
        <f t="shared" si="13"/>
        <v>0.02126728763672356</v>
      </c>
      <c r="O35" s="19">
        <f t="shared" si="14"/>
        <v>0.010367439766234979</v>
      </c>
      <c r="P35" s="19"/>
      <c r="Q35" s="20"/>
      <c r="R35" s="20"/>
      <c r="S35" s="20"/>
    </row>
    <row r="36" spans="1:19" ht="12.75">
      <c r="A36" s="13">
        <f t="shared" si="9"/>
        <v>2002</v>
      </c>
      <c r="C36" s="14">
        <v>3106567.710168912</v>
      </c>
      <c r="D36" s="15">
        <v>899.5</v>
      </c>
      <c r="E36" s="16">
        <v>6634780780.866711</v>
      </c>
      <c r="F36" s="19">
        <v>1.1544584044513768</v>
      </c>
      <c r="G36" s="15">
        <v>0.700895791178708</v>
      </c>
      <c r="H36" s="15">
        <v>0.29910420882129196</v>
      </c>
      <c r="J36" s="19">
        <f t="shared" si="10"/>
        <v>0.00013367934858759048</v>
      </c>
      <c r="K36" s="19">
        <f t="shared" si="11"/>
        <v>1.0863843373216884</v>
      </c>
      <c r="L36" s="19"/>
      <c r="M36" s="19">
        <f t="shared" si="12"/>
        <v>-0.0037460203648121363</v>
      </c>
      <c r="N36" s="19">
        <f t="shared" si="13"/>
        <v>0.019527353433649156</v>
      </c>
      <c r="O36" s="19">
        <f t="shared" si="14"/>
        <v>0.016932853363569863</v>
      </c>
      <c r="P36" s="19"/>
      <c r="Q36" s="20"/>
      <c r="R36" s="20"/>
      <c r="S36" s="20"/>
    </row>
    <row r="37" spans="3:19" ht="12.75">
      <c r="C37" s="14"/>
      <c r="D37" s="15"/>
      <c r="E37" s="16"/>
      <c r="F37" s="19"/>
      <c r="G37" s="15"/>
      <c r="J37" s="19"/>
      <c r="K37" s="19"/>
      <c r="L37" s="19"/>
      <c r="M37" s="21"/>
      <c r="N37" s="19"/>
      <c r="O37" s="19"/>
      <c r="P37" s="19"/>
      <c r="Q37" s="20"/>
      <c r="R37" s="20"/>
      <c r="S37" s="20"/>
    </row>
    <row r="38" spans="1:19" ht="12.75">
      <c r="A38" s="22" t="s">
        <v>262</v>
      </c>
      <c r="C38" s="19">
        <f>EXP(1/9*LN(C36/C27))-1</f>
        <v>0.0409861575526973</v>
      </c>
      <c r="D38" s="19">
        <f>EXP(1/9*LN(D36/D27))-1</f>
        <v>0.0015854519540006162</v>
      </c>
      <c r="E38" s="19">
        <f>EXP(1/9*LN(E36/E27))-1</f>
        <v>0.06780589919221636</v>
      </c>
      <c r="F38" s="19">
        <f>EXP(1/9*LN(F36/F27))-1</f>
        <v>0.016087061123357227</v>
      </c>
      <c r="H38" s="25"/>
      <c r="J38" s="20"/>
      <c r="K38" s="19">
        <f>EXP(1/9*LN(K36/K27))-1</f>
        <v>0.009248624495746816</v>
      </c>
      <c r="L38" s="26"/>
      <c r="M38" s="19">
        <f>AVERAGE(M28:M36)</f>
        <v>0.0010829175413681637</v>
      </c>
      <c r="N38" s="19">
        <f>AVERAGE(N28:N36)</f>
        <v>0.018249255809261844</v>
      </c>
      <c r="O38" s="19">
        <f>AVERAGE(O28:O36)</f>
        <v>0.011488668541102344</v>
      </c>
      <c r="P38" s="19"/>
      <c r="Q38" s="20"/>
      <c r="R38" s="20"/>
      <c r="S38" s="20"/>
    </row>
    <row r="39" spans="1:19" ht="12.75">
      <c r="A39" s="22" t="s">
        <v>263</v>
      </c>
      <c r="H39" s="22"/>
      <c r="J39" s="19"/>
      <c r="K39" s="19">
        <f>EXP(1/8*LN(K36/K28))-1</f>
        <v>0.006080573728753702</v>
      </c>
      <c r="L39" s="19"/>
      <c r="P39" s="19"/>
      <c r="Q39" s="20"/>
      <c r="R39" s="20"/>
      <c r="S39" s="20"/>
    </row>
    <row r="40" spans="3:15" ht="12.75">
      <c r="C40" s="19"/>
      <c r="D40" s="19"/>
      <c r="F40" s="19"/>
      <c r="G40" s="15"/>
      <c r="H40" s="19"/>
      <c r="I40" s="19"/>
      <c r="J40" s="19"/>
      <c r="K40" s="19"/>
      <c r="L40" s="19"/>
      <c r="M40" s="15"/>
      <c r="N40" s="15"/>
      <c r="O40" s="15"/>
    </row>
    <row r="41" spans="1:17" ht="12.75">
      <c r="A41" s="22" t="s">
        <v>268</v>
      </c>
      <c r="J41" s="22" t="s">
        <v>71</v>
      </c>
      <c r="K41" s="22"/>
      <c r="L41" s="22"/>
      <c r="M41" s="22" t="s">
        <v>276</v>
      </c>
      <c r="Q41" s="22"/>
    </row>
    <row r="43" spans="3:15" ht="12.75">
      <c r="C43" s="13" t="s">
        <v>44</v>
      </c>
      <c r="D43" s="13" t="s">
        <v>45</v>
      </c>
      <c r="E43" s="13" t="s">
        <v>46</v>
      </c>
      <c r="F43" s="13" t="s">
        <v>47</v>
      </c>
      <c r="G43" s="22" t="s">
        <v>26</v>
      </c>
      <c r="H43" s="22" t="s">
        <v>27</v>
      </c>
      <c r="I43" s="22"/>
      <c r="J43" s="22" t="s">
        <v>73</v>
      </c>
      <c r="K43" s="22" t="s">
        <v>261</v>
      </c>
      <c r="L43" s="22"/>
      <c r="M43" s="22" t="s">
        <v>72</v>
      </c>
      <c r="N43" s="22" t="s">
        <v>48</v>
      </c>
      <c r="O43" s="22" t="s">
        <v>51</v>
      </c>
    </row>
    <row r="45" spans="1:19" ht="12.75">
      <c r="A45" s="13">
        <v>1993</v>
      </c>
      <c r="C45" s="14">
        <v>2164094.5580999996</v>
      </c>
      <c r="D45" s="15">
        <v>886.7661316098731</v>
      </c>
      <c r="E45" s="16">
        <v>3676171260.4204464</v>
      </c>
      <c r="F45" s="1">
        <v>1</v>
      </c>
      <c r="G45" s="15">
        <v>0.7</v>
      </c>
      <c r="H45" s="15">
        <f>1-G45</f>
        <v>0.30000000000000004</v>
      </c>
      <c r="J45" s="17"/>
      <c r="K45" s="17">
        <v>1</v>
      </c>
      <c r="L45" s="17"/>
      <c r="M45" s="18"/>
      <c r="Q45" s="20"/>
      <c r="R45" s="20"/>
      <c r="S45" s="20"/>
    </row>
    <row r="46" spans="1:19" ht="12.75">
      <c r="A46" s="13">
        <f aca="true" t="shared" si="15" ref="A46:A53">A45+1</f>
        <v>1994</v>
      </c>
      <c r="C46" s="14">
        <v>2279186.31</v>
      </c>
      <c r="D46" s="15">
        <v>883.2190670834336</v>
      </c>
      <c r="E46" s="16">
        <v>3819331627.888913</v>
      </c>
      <c r="F46" s="1">
        <v>1.0059171597633136</v>
      </c>
      <c r="G46" s="15">
        <f>G45</f>
        <v>0.7</v>
      </c>
      <c r="H46" s="15">
        <f aca="true" t="shared" si="16" ref="H46:H53">1-G46</f>
        <v>0.30000000000000004</v>
      </c>
      <c r="J46" s="19">
        <f>LN(C46/C45)-(H46+H45)/2*LN(E46/E45)-(G46+G45)/2*LN(D46/D45)-(G46+G45)/2*LN(F46/F45)</f>
        <v>0.03903115659513505</v>
      </c>
      <c r="K46" s="19">
        <f>K45*(1+J46)</f>
        <v>1.0390311565951351</v>
      </c>
      <c r="L46" s="19"/>
      <c r="M46" s="19">
        <f>(G46+G45)/2*LN(D46/D45)</f>
        <v>-0.002805614978277175</v>
      </c>
      <c r="N46" s="19">
        <f>(H46+H45)/2*LN(E46/E45)</f>
        <v>0.011461094574865677</v>
      </c>
      <c r="O46" s="19">
        <f>(G46+G45)/2*LN(F46/F45)</f>
        <v>0.004129805489031825</v>
      </c>
      <c r="Q46" s="20"/>
      <c r="R46" s="20"/>
      <c r="S46" s="20"/>
    </row>
    <row r="47" spans="1:19" ht="12.75">
      <c r="A47" s="13">
        <f t="shared" si="15"/>
        <v>1995</v>
      </c>
      <c r="C47" s="14">
        <v>2372657</v>
      </c>
      <c r="D47" s="15">
        <v>892.4170113007934</v>
      </c>
      <c r="E47" s="16">
        <v>4022354755.797245</v>
      </c>
      <c r="F47" s="1">
        <v>1.029585798816568</v>
      </c>
      <c r="G47" s="15">
        <f aca="true" t="shared" si="17" ref="G47:G53">G46</f>
        <v>0.7</v>
      </c>
      <c r="H47" s="15">
        <f t="shared" si="16"/>
        <v>0.30000000000000004</v>
      </c>
      <c r="J47" s="19">
        <f aca="true" t="shared" si="18" ref="J47:J53">LN(C47/C46)-(H47+H46)/2*LN(E47/E46)-(G47+G46)/2*LN(D47/D46)-(G47+G46)/2*LN(F47/F46)</f>
        <v>0.0011223252710785038</v>
      </c>
      <c r="K47" s="19">
        <f aca="true" t="shared" si="19" ref="K47:K53">K46*(1+J47)</f>
        <v>1.04019728751962</v>
      </c>
      <c r="L47" s="19"/>
      <c r="M47" s="19">
        <f aca="true" t="shared" si="20" ref="M47:M53">(G47+G46)/2*LN(D47/D46)</f>
        <v>0.007252182607323021</v>
      </c>
      <c r="N47" s="19">
        <f aca="true" t="shared" si="21" ref="N47:N53">(H47+H46)/2*LN(E47/E46)</f>
        <v>0.015537615150047365</v>
      </c>
      <c r="O47" s="19">
        <f aca="true" t="shared" si="22" ref="O47:O53">(G47+G46)/2*LN(F47/F46)</f>
        <v>0.016279803514987028</v>
      </c>
      <c r="P47" s="19"/>
      <c r="Q47" s="20"/>
      <c r="R47" s="20"/>
      <c r="S47" s="20"/>
    </row>
    <row r="48" spans="1:19" ht="12.75">
      <c r="A48" s="13">
        <f t="shared" si="15"/>
        <v>1996</v>
      </c>
      <c r="C48" s="14">
        <v>2460053.201082056</v>
      </c>
      <c r="D48" s="15">
        <v>883.7601226256311</v>
      </c>
      <c r="E48" s="16">
        <v>4265435055.1898003</v>
      </c>
      <c r="F48" s="1">
        <v>1.040096643575769</v>
      </c>
      <c r="G48" s="15">
        <f t="shared" si="17"/>
        <v>0.7</v>
      </c>
      <c r="H48" s="15">
        <f t="shared" si="16"/>
        <v>0.30000000000000004</v>
      </c>
      <c r="J48" s="19">
        <f t="shared" si="18"/>
        <v>0.018283106516364386</v>
      </c>
      <c r="K48" s="19">
        <f t="shared" si="19"/>
        <v>1.0592153253253744</v>
      </c>
      <c r="L48" s="19"/>
      <c r="M48" s="19">
        <f t="shared" si="20"/>
        <v>-0.006823497432555865</v>
      </c>
      <c r="N48" s="19">
        <f t="shared" si="21"/>
        <v>0.01760300710757192</v>
      </c>
      <c r="O48" s="19">
        <f t="shared" si="22"/>
        <v>0.007109935741711076</v>
      </c>
      <c r="P48" s="19"/>
      <c r="Q48" s="20"/>
      <c r="R48" s="20"/>
      <c r="S48" s="20"/>
    </row>
    <row r="49" spans="1:19" ht="12.75">
      <c r="A49" s="13">
        <f t="shared" si="15"/>
        <v>1997</v>
      </c>
      <c r="C49" s="14">
        <v>2577569.717021164</v>
      </c>
      <c r="D49" s="15">
        <v>879.2152560711709</v>
      </c>
      <c r="E49" s="16">
        <v>4563783165.652029</v>
      </c>
      <c r="F49" s="1">
        <v>1.03575456781048</v>
      </c>
      <c r="G49" s="15">
        <f t="shared" si="17"/>
        <v>0.7</v>
      </c>
      <c r="H49" s="15">
        <f t="shared" si="16"/>
        <v>0.30000000000000004</v>
      </c>
      <c r="J49" s="19">
        <f t="shared" si="18"/>
        <v>0.032919224414065765</v>
      </c>
      <c r="K49" s="19">
        <f t="shared" si="19"/>
        <v>1.094083872322578</v>
      </c>
      <c r="L49" s="19"/>
      <c r="M49" s="19">
        <f t="shared" si="20"/>
        <v>-0.0036091413122362383</v>
      </c>
      <c r="N49" s="19">
        <f t="shared" si="21"/>
        <v>0.020282321852021407</v>
      </c>
      <c r="O49" s="19">
        <f t="shared" si="22"/>
        <v>-0.0029283962663854365</v>
      </c>
      <c r="P49" s="19"/>
      <c r="Q49" s="20"/>
      <c r="R49" s="20"/>
      <c r="S49" s="20"/>
    </row>
    <row r="50" spans="1:19" ht="12.75">
      <c r="A50" s="13">
        <f t="shared" si="15"/>
        <v>1998</v>
      </c>
      <c r="C50" s="14">
        <v>2668803.591600994</v>
      </c>
      <c r="D50" s="15">
        <v>879.3234671796105</v>
      </c>
      <c r="E50" s="16">
        <v>4901238581.613424</v>
      </c>
      <c r="F50" s="1">
        <v>1.0792687781819401</v>
      </c>
      <c r="G50" s="15">
        <f t="shared" si="17"/>
        <v>0.7</v>
      </c>
      <c r="H50" s="15">
        <f t="shared" si="16"/>
        <v>0.30000000000000004</v>
      </c>
      <c r="J50" s="19">
        <f t="shared" si="18"/>
        <v>-0.015511141311253453</v>
      </c>
      <c r="K50" s="19">
        <f t="shared" si="19"/>
        <v>1.0771133827726191</v>
      </c>
      <c r="L50" s="19"/>
      <c r="M50" s="19">
        <f t="shared" si="20"/>
        <v>8.61485448138095E-05</v>
      </c>
      <c r="N50" s="19">
        <f t="shared" si="21"/>
        <v>0.021400807133617836</v>
      </c>
      <c r="O50" s="19">
        <f t="shared" si="22"/>
        <v>0.028807479733951827</v>
      </c>
      <c r="P50" s="19"/>
      <c r="Q50" s="20"/>
      <c r="R50" s="20"/>
      <c r="S50" s="20"/>
    </row>
    <row r="51" spans="1:19" ht="12.75">
      <c r="A51" s="13">
        <f t="shared" si="15"/>
        <v>1999</v>
      </c>
      <c r="C51" s="14">
        <v>2818198.9676663172</v>
      </c>
      <c r="D51" s="15">
        <v>890.1445780235634</v>
      </c>
      <c r="E51" s="16">
        <v>5356531196.819725</v>
      </c>
      <c r="F51" s="1">
        <v>1.0946745562130178</v>
      </c>
      <c r="G51" s="15">
        <f t="shared" si="17"/>
        <v>0.7</v>
      </c>
      <c r="H51" s="15">
        <f t="shared" si="16"/>
        <v>0.30000000000000004</v>
      </c>
      <c r="J51" s="19">
        <f t="shared" si="18"/>
        <v>0.009336041786084963</v>
      </c>
      <c r="K51" s="19">
        <f t="shared" si="19"/>
        <v>1.0871693583225357</v>
      </c>
      <c r="L51" s="19"/>
      <c r="M51" s="19">
        <f t="shared" si="20"/>
        <v>0.008561750569888215</v>
      </c>
      <c r="N51" s="19">
        <f t="shared" si="21"/>
        <v>0.0266485967627198</v>
      </c>
      <c r="O51" s="19">
        <f t="shared" si="22"/>
        <v>0.00992134889537974</v>
      </c>
      <c r="P51" s="19"/>
      <c r="Q51" s="20"/>
      <c r="R51" s="20"/>
      <c r="S51" s="20"/>
    </row>
    <row r="52" spans="1:19" ht="12.75">
      <c r="A52" s="13">
        <f t="shared" si="15"/>
        <v>2000</v>
      </c>
      <c r="C52" s="14">
        <v>2928821.050097774</v>
      </c>
      <c r="D52" s="15">
        <v>900.1</v>
      </c>
      <c r="E52" s="16">
        <v>5782749177.526379</v>
      </c>
      <c r="F52" s="1">
        <v>1.1296147948421253</v>
      </c>
      <c r="G52" s="15">
        <f t="shared" si="17"/>
        <v>0.7</v>
      </c>
      <c r="H52" s="15">
        <f t="shared" si="16"/>
        <v>0.30000000000000004</v>
      </c>
      <c r="J52" s="19">
        <f t="shared" si="18"/>
        <v>-0.014245910919496247</v>
      </c>
      <c r="K52" s="19">
        <f t="shared" si="19"/>
        <v>1.071681640489467</v>
      </c>
      <c r="L52" s="19"/>
      <c r="M52" s="19">
        <f t="shared" si="20"/>
        <v>0.007785380058741212</v>
      </c>
      <c r="N52" s="19">
        <f t="shared" si="21"/>
        <v>0.022968781514010345</v>
      </c>
      <c r="O52" s="19">
        <f t="shared" si="22"/>
        <v>0.02199370245290015</v>
      </c>
      <c r="P52" s="19"/>
      <c r="Q52" s="20"/>
      <c r="R52" s="20"/>
      <c r="S52" s="20"/>
    </row>
    <row r="53" spans="1:19" ht="12.75">
      <c r="A53" s="13">
        <f t="shared" si="15"/>
        <v>2001</v>
      </c>
      <c r="C53" s="14">
        <v>3006181.355828385</v>
      </c>
      <c r="D53" s="15">
        <v>904.3</v>
      </c>
      <c r="E53" s="16">
        <v>6211398277.6616955</v>
      </c>
      <c r="F53" s="1">
        <v>1.1451412645046597</v>
      </c>
      <c r="G53" s="15">
        <f t="shared" si="17"/>
        <v>0.7</v>
      </c>
      <c r="H53" s="15">
        <f t="shared" si="16"/>
        <v>0.30000000000000004</v>
      </c>
      <c r="J53" s="19">
        <f t="shared" si="18"/>
        <v>-0.00819602878624863</v>
      </c>
      <c r="K53" s="19">
        <f t="shared" si="19"/>
        <v>1.062898106914321</v>
      </c>
      <c r="L53" s="19"/>
      <c r="M53" s="19">
        <f t="shared" si="20"/>
        <v>0.0032587068383763715</v>
      </c>
      <c r="N53" s="19">
        <f t="shared" si="21"/>
        <v>0.02145204906868833</v>
      </c>
      <c r="O53" s="19">
        <f t="shared" si="22"/>
        <v>0.009555923594975532</v>
      </c>
      <c r="P53" s="19"/>
      <c r="Q53" s="20"/>
      <c r="R53" s="20"/>
      <c r="S53" s="20"/>
    </row>
    <row r="54" spans="3:19" ht="12.75">
      <c r="C54" s="14"/>
      <c r="D54" s="15"/>
      <c r="E54" s="16"/>
      <c r="F54" s="19"/>
      <c r="G54" s="15"/>
      <c r="J54" s="19"/>
      <c r="K54" s="19"/>
      <c r="L54" s="19"/>
      <c r="M54" s="19"/>
      <c r="N54" s="19"/>
      <c r="O54" s="19"/>
      <c r="P54" s="19"/>
      <c r="Q54" s="20"/>
      <c r="R54" s="20"/>
      <c r="S54" s="20"/>
    </row>
    <row r="55" spans="1:19" ht="12.75">
      <c r="A55" s="22" t="s">
        <v>266</v>
      </c>
      <c r="C55" s="19">
        <f>EXP(1/8*LN(C53/C45))-1</f>
        <v>0.04193917738696595</v>
      </c>
      <c r="D55" s="19">
        <f>EXP(1/8*LN(D53/D45))-1</f>
        <v>0.0024504823387760943</v>
      </c>
      <c r="E55" s="19">
        <f>EXP(1/8*LN(E53/E45))-1</f>
        <v>0.06776137132617022</v>
      </c>
      <c r="F55" s="19">
        <f>EXP(1/8*LN(F53/F45))-1</f>
        <v>0.017085313094830523</v>
      </c>
      <c r="H55" s="25"/>
      <c r="J55" s="20"/>
      <c r="K55" s="19">
        <f>EXP(1/8*LN(K53/K45))-1</f>
        <v>0.007654048676273284</v>
      </c>
      <c r="L55" s="26"/>
      <c r="M55" s="21"/>
      <c r="N55" s="19"/>
      <c r="O55" s="19"/>
      <c r="P55" s="19"/>
      <c r="Q55" s="19"/>
      <c r="R55" s="19"/>
      <c r="S55" s="19"/>
    </row>
    <row r="56" spans="1:22" ht="12.75">
      <c r="A56" s="22" t="s">
        <v>274</v>
      </c>
      <c r="C56" s="19"/>
      <c r="D56" s="19">
        <f>D55*G45</f>
        <v>0.0017153376371432658</v>
      </c>
      <c r="E56" s="19">
        <f>E55*H45</f>
        <v>0.02032841139785107</v>
      </c>
      <c r="F56" s="19">
        <f>F55*G45</f>
        <v>0.011959719166381366</v>
      </c>
      <c r="G56" s="19"/>
      <c r="H56" s="25"/>
      <c r="J56" s="20"/>
      <c r="K56" s="19">
        <f>K55</f>
        <v>0.007654048676273284</v>
      </c>
      <c r="L56" s="26"/>
      <c r="M56" s="19">
        <f>AVERAGE(M46:M54)</f>
        <v>0.0017132393620091688</v>
      </c>
      <c r="N56" s="19">
        <f>AVERAGE(N46:N54)</f>
        <v>0.019669284145442837</v>
      </c>
      <c r="O56" s="19">
        <f>AVERAGE(O46:O54)</f>
        <v>0.011858700394568968</v>
      </c>
      <c r="P56" s="19"/>
      <c r="Q56" s="19"/>
      <c r="R56" s="19"/>
      <c r="S56" s="19"/>
      <c r="U56" s="20"/>
      <c r="V56" s="20"/>
    </row>
    <row r="57" spans="1:12" ht="15" customHeight="1">
      <c r="A57" s="22" t="s">
        <v>267</v>
      </c>
      <c r="H57" s="22"/>
      <c r="J57" s="19"/>
      <c r="K57" s="19">
        <f>EXP(1/7*LN(K53/K46))-1</f>
        <v>0.0032496317469248304</v>
      </c>
      <c r="L57" s="19"/>
    </row>
    <row r="58" spans="1:19" ht="12.75">
      <c r="A58" s="22"/>
      <c r="C58" s="19"/>
      <c r="D58" s="19"/>
      <c r="E58" s="19"/>
      <c r="F58" s="19"/>
      <c r="H58" s="25"/>
      <c r="J58" s="19"/>
      <c r="K58" s="26"/>
      <c r="L58" s="26"/>
      <c r="M58" s="19"/>
      <c r="N58" s="19"/>
      <c r="O58" s="19"/>
      <c r="P58" s="19"/>
      <c r="Q58" s="20"/>
      <c r="R58" s="20"/>
      <c r="S58" s="20"/>
    </row>
    <row r="59" spans="1:17" ht="12.75">
      <c r="A59" s="22" t="s">
        <v>271</v>
      </c>
      <c r="J59" s="22" t="s">
        <v>71</v>
      </c>
      <c r="K59" s="22"/>
      <c r="L59" s="22"/>
      <c r="M59" s="22" t="s">
        <v>276</v>
      </c>
      <c r="Q59" s="22"/>
    </row>
    <row r="61" spans="3:15" ht="12.75">
      <c r="C61" s="13" t="s">
        <v>44</v>
      </c>
      <c r="D61" s="13" t="s">
        <v>45</v>
      </c>
      <c r="E61" s="13" t="s">
        <v>46</v>
      </c>
      <c r="F61" s="13" t="s">
        <v>47</v>
      </c>
      <c r="G61" s="22" t="s">
        <v>26</v>
      </c>
      <c r="H61" s="22" t="s">
        <v>27</v>
      </c>
      <c r="I61" s="22"/>
      <c r="J61" s="22" t="s">
        <v>73</v>
      </c>
      <c r="K61" s="22" t="s">
        <v>261</v>
      </c>
      <c r="L61" s="22"/>
      <c r="M61" s="22" t="s">
        <v>72</v>
      </c>
      <c r="N61" s="22" t="s">
        <v>48</v>
      </c>
      <c r="O61" s="22" t="s">
        <v>51</v>
      </c>
    </row>
    <row r="63" spans="1:19" ht="12.75">
      <c r="A63" s="13">
        <v>1993</v>
      </c>
      <c r="C63" s="14">
        <v>2164094.5580999996</v>
      </c>
      <c r="D63" s="15">
        <v>886.7661316098731</v>
      </c>
      <c r="E63" s="16">
        <v>3676171260.4204464</v>
      </c>
      <c r="F63" s="1">
        <v>3.143291132038921</v>
      </c>
      <c r="G63" s="15">
        <v>0.7</v>
      </c>
      <c r="H63" s="15">
        <f>1-G63</f>
        <v>0.30000000000000004</v>
      </c>
      <c r="J63" s="17"/>
      <c r="K63" s="17">
        <v>1</v>
      </c>
      <c r="L63" s="17"/>
      <c r="M63" s="18"/>
      <c r="Q63" s="20"/>
      <c r="R63" s="20"/>
      <c r="S63" s="20"/>
    </row>
    <row r="64" spans="1:19" ht="12.75">
      <c r="A64" s="13">
        <f aca="true" t="shared" si="23" ref="A64:A72">A63+1</f>
        <v>1994</v>
      </c>
      <c r="C64" s="14">
        <v>2279186.31</v>
      </c>
      <c r="D64" s="15">
        <v>883.2190670834336</v>
      </c>
      <c r="E64" s="16">
        <v>3819331627.888913</v>
      </c>
      <c r="F64" s="1">
        <v>3.152203288298117</v>
      </c>
      <c r="G64" s="15">
        <f>G63</f>
        <v>0.7</v>
      </c>
      <c r="H64" s="15">
        <f aca="true" t="shared" si="24" ref="H64:H72">1-G64</f>
        <v>0.30000000000000004</v>
      </c>
      <c r="J64" s="19">
        <f>LN(C64/C63)-(H64+H63)/2*LN(E64/E63)-(G64+G63)/2*LN(D64/D63)-(G64+G63)/2*LN(F64/F63)</f>
        <v>0.041179064195832074</v>
      </c>
      <c r="K64" s="19">
        <f>K63*(1+J64)</f>
        <v>1.041179064195832</v>
      </c>
      <c r="L64" s="19"/>
      <c r="M64" s="19">
        <f>(G64+G63)/2*LN(D64/D63)</f>
        <v>-0.002805614978277175</v>
      </c>
      <c r="N64" s="19">
        <f>(H64+H63)/2*LN(E64/E63)</f>
        <v>0.011461094574865677</v>
      </c>
      <c r="O64" s="19">
        <f>(G64+G63)/2*LN(F64/F63)</f>
        <v>0.001981897888334799</v>
      </c>
      <c r="Q64" s="20"/>
      <c r="R64" s="20"/>
      <c r="S64" s="20"/>
    </row>
    <row r="65" spans="1:19" ht="12.75">
      <c r="A65" s="13">
        <f t="shared" si="23"/>
        <v>1995</v>
      </c>
      <c r="C65" s="14">
        <v>2372657</v>
      </c>
      <c r="D65" s="15">
        <v>892.4170113007934</v>
      </c>
      <c r="E65" s="16">
        <v>4022354755.797245</v>
      </c>
      <c r="F65" s="1">
        <v>3.1509860995986</v>
      </c>
      <c r="G65" s="15">
        <f aca="true" t="shared" si="25" ref="G65:G72">G64</f>
        <v>0.7</v>
      </c>
      <c r="H65" s="15">
        <f t="shared" si="24"/>
        <v>0.30000000000000004</v>
      </c>
      <c r="J65" s="19">
        <f aca="true" t="shared" si="26" ref="J65:J72">LN(C65/C64)-(H65+H64)/2*LN(E65/E64)-(G65+G64)/2*LN(D65/D64)-(G65+G64)/2*LN(F65/F64)</f>
        <v>0.01767247830210221</v>
      </c>
      <c r="K65" s="19">
        <f aca="true" t="shared" si="27" ref="K65:K72">K64*(1+J65)</f>
        <v>1.059579278616436</v>
      </c>
      <c r="L65" s="19"/>
      <c r="M65" s="19">
        <f aca="true" t="shared" si="28" ref="M65:M72">(G65+G64)/2*LN(D65/D64)</f>
        <v>0.007252182607323021</v>
      </c>
      <c r="N65" s="19">
        <f aca="true" t="shared" si="29" ref="N65:N72">(H65+H64)/2*LN(E65/E64)</f>
        <v>0.015537615150047365</v>
      </c>
      <c r="O65" s="19">
        <f aca="true" t="shared" si="30" ref="O65:O72">(G65+G64)/2*LN(F65/F64)</f>
        <v>-0.00027034951603667885</v>
      </c>
      <c r="P65" s="19"/>
      <c r="Q65" s="20"/>
      <c r="R65" s="20"/>
      <c r="S65" s="20"/>
    </row>
    <row r="66" spans="1:19" ht="12.75">
      <c r="A66" s="13">
        <f t="shared" si="23"/>
        <v>1996</v>
      </c>
      <c r="C66" s="14">
        <v>2460053.201082056</v>
      </c>
      <c r="D66" s="15">
        <v>883.7601226256311</v>
      </c>
      <c r="E66" s="16">
        <v>4265435055.1898003</v>
      </c>
      <c r="F66" s="1">
        <v>3.1637919677236788</v>
      </c>
      <c r="G66" s="15">
        <f t="shared" si="25"/>
        <v>0.7</v>
      </c>
      <c r="H66" s="15">
        <f t="shared" si="24"/>
        <v>0.30000000000000004</v>
      </c>
      <c r="J66" s="19">
        <f t="shared" si="26"/>
        <v>0.02255394961532495</v>
      </c>
      <c r="K66" s="19">
        <f t="shared" si="27"/>
        <v>1.0834769762797933</v>
      </c>
      <c r="L66" s="19"/>
      <c r="M66" s="19">
        <f t="shared" si="28"/>
        <v>-0.006823497432555865</v>
      </c>
      <c r="N66" s="19">
        <f t="shared" si="29"/>
        <v>0.01760300710757192</v>
      </c>
      <c r="O66" s="19">
        <f t="shared" si="30"/>
        <v>0.0028390926427505118</v>
      </c>
      <c r="P66" s="19"/>
      <c r="Q66" s="20"/>
      <c r="R66" s="20"/>
      <c r="S66" s="20"/>
    </row>
    <row r="67" spans="1:19" ht="12.75">
      <c r="A67" s="13">
        <f t="shared" si="23"/>
        <v>1997</v>
      </c>
      <c r="C67" s="14">
        <v>2577569.717021164</v>
      </c>
      <c r="D67" s="15">
        <v>879.2152560711709</v>
      </c>
      <c r="E67" s="16">
        <v>4563783165.652029</v>
      </c>
      <c r="F67" s="1">
        <v>3.1581493449710605</v>
      </c>
      <c r="G67" s="15">
        <f t="shared" si="25"/>
        <v>0.7</v>
      </c>
      <c r="H67" s="15">
        <f t="shared" si="24"/>
        <v>0.30000000000000004</v>
      </c>
      <c r="J67" s="19">
        <f t="shared" si="26"/>
        <v>0.03124039272929554</v>
      </c>
      <c r="K67" s="19">
        <f t="shared" si="27"/>
        <v>1.1173252225319237</v>
      </c>
      <c r="L67" s="19"/>
      <c r="M67" s="19">
        <f t="shared" si="28"/>
        <v>-0.0036091413122362383</v>
      </c>
      <c r="N67" s="19">
        <f t="shared" si="29"/>
        <v>0.020282321852021407</v>
      </c>
      <c r="O67" s="19">
        <f t="shared" si="30"/>
        <v>-0.0012495645816152081</v>
      </c>
      <c r="P67" s="19"/>
      <c r="Q67" s="20"/>
      <c r="R67" s="20"/>
      <c r="S67" s="20"/>
    </row>
    <row r="68" spans="1:19" ht="12.75">
      <c r="A68" s="13">
        <f t="shared" si="23"/>
        <v>1998</v>
      </c>
      <c r="C68" s="14">
        <v>2668803.591600994</v>
      </c>
      <c r="D68" s="15">
        <v>879.3234671796105</v>
      </c>
      <c r="E68" s="16">
        <v>4901238581.613424</v>
      </c>
      <c r="F68" s="1">
        <v>3.1873179503399776</v>
      </c>
      <c r="G68" s="15">
        <f t="shared" si="25"/>
        <v>0.7</v>
      </c>
      <c r="H68" s="15">
        <f t="shared" si="24"/>
        <v>0.30000000000000004</v>
      </c>
      <c r="J68" s="19">
        <f t="shared" si="26"/>
        <v>0.0068608257575782415</v>
      </c>
      <c r="K68" s="19">
        <f t="shared" si="27"/>
        <v>1.1249909961982625</v>
      </c>
      <c r="L68" s="19"/>
      <c r="M68" s="19">
        <f t="shared" si="28"/>
        <v>8.61485448138095E-05</v>
      </c>
      <c r="N68" s="19">
        <f t="shared" si="29"/>
        <v>0.021400807133617836</v>
      </c>
      <c r="O68" s="19">
        <f t="shared" si="30"/>
        <v>0.006435512665120133</v>
      </c>
      <c r="P68" s="19"/>
      <c r="Q68" s="20"/>
      <c r="R68" s="20"/>
      <c r="S68" s="20"/>
    </row>
    <row r="69" spans="1:19" ht="12.75">
      <c r="A69" s="13">
        <f t="shared" si="23"/>
        <v>1999</v>
      </c>
      <c r="C69" s="14">
        <v>2818198.9676663172</v>
      </c>
      <c r="D69" s="15">
        <v>890.1445780235634</v>
      </c>
      <c r="E69" s="16">
        <v>5356531196.819725</v>
      </c>
      <c r="F69" s="1">
        <v>3.212841800589576</v>
      </c>
      <c r="G69" s="15">
        <f t="shared" si="25"/>
        <v>0.7</v>
      </c>
      <c r="H69" s="15">
        <f t="shared" si="24"/>
        <v>0.30000000000000004</v>
      </c>
      <c r="J69" s="19">
        <f t="shared" si="26"/>
        <v>0.01367415820315352</v>
      </c>
      <c r="K69" s="19">
        <f t="shared" si="27"/>
        <v>1.1403743010574008</v>
      </c>
      <c r="L69" s="19"/>
      <c r="M69" s="19">
        <f t="shared" si="28"/>
        <v>0.008561750569888215</v>
      </c>
      <c r="N69" s="19">
        <f t="shared" si="29"/>
        <v>0.0266485967627198</v>
      </c>
      <c r="O69" s="19">
        <f t="shared" si="30"/>
        <v>0.005583232478311182</v>
      </c>
      <c r="P69" s="19"/>
      <c r="Q69" s="20"/>
      <c r="R69" s="20"/>
      <c r="S69" s="20"/>
    </row>
    <row r="70" spans="1:19" ht="12.75">
      <c r="A70" s="13">
        <f t="shared" si="23"/>
        <v>2000</v>
      </c>
      <c r="C70" s="14">
        <v>2928821.050097774</v>
      </c>
      <c r="D70" s="15">
        <v>900.1</v>
      </c>
      <c r="E70" s="16">
        <v>5782749177.526379</v>
      </c>
      <c r="F70" s="1">
        <v>3.2308384413270135</v>
      </c>
      <c r="G70" s="15">
        <f t="shared" si="25"/>
        <v>0.7</v>
      </c>
      <c r="H70" s="15">
        <f t="shared" si="24"/>
        <v>0.30000000000000004</v>
      </c>
      <c r="J70" s="19">
        <f t="shared" si="26"/>
        <v>0.0038377026404665913</v>
      </c>
      <c r="K70" s="19">
        <f t="shared" si="27"/>
        <v>1.144750718523689</v>
      </c>
      <c r="L70" s="19"/>
      <c r="M70" s="19">
        <f t="shared" si="28"/>
        <v>0.007785380058741212</v>
      </c>
      <c r="N70" s="19">
        <f t="shared" si="29"/>
        <v>0.022968781514010345</v>
      </c>
      <c r="O70" s="19">
        <f t="shared" si="30"/>
        <v>0.003910088892937309</v>
      </c>
      <c r="P70" s="19"/>
      <c r="Q70" s="20"/>
      <c r="R70" s="20"/>
      <c r="S70" s="20"/>
    </row>
    <row r="71" spans="1:19" ht="12.75">
      <c r="A71" s="13">
        <f t="shared" si="23"/>
        <v>2001</v>
      </c>
      <c r="C71" s="14">
        <v>3006181.355828385</v>
      </c>
      <c r="D71" s="15">
        <v>904.3</v>
      </c>
      <c r="E71" s="16">
        <v>6211398277.6616955</v>
      </c>
      <c r="F71" s="1">
        <v>3.2363471093520966</v>
      </c>
      <c r="G71" s="15">
        <f t="shared" si="25"/>
        <v>0.7</v>
      </c>
      <c r="H71" s="15">
        <f t="shared" si="24"/>
        <v>0.30000000000000004</v>
      </c>
      <c r="J71" s="19">
        <f t="shared" si="26"/>
        <v>0.0001673919742494806</v>
      </c>
      <c r="K71" s="19">
        <f t="shared" si="27"/>
        <v>1.1449423406064863</v>
      </c>
      <c r="L71" s="19"/>
      <c r="M71" s="19">
        <f t="shared" si="28"/>
        <v>0.0032587068383763715</v>
      </c>
      <c r="N71" s="19">
        <f t="shared" si="29"/>
        <v>0.02145204906868833</v>
      </c>
      <c r="O71" s="19">
        <f t="shared" si="30"/>
        <v>0.0011925028344774216</v>
      </c>
      <c r="P71" s="19"/>
      <c r="Q71" s="20"/>
      <c r="R71" s="20"/>
      <c r="S71" s="20"/>
    </row>
    <row r="72" spans="1:19" ht="12.75">
      <c r="A72" s="13">
        <f t="shared" si="23"/>
        <v>2002</v>
      </c>
      <c r="C72" s="14">
        <v>3106567.710168912</v>
      </c>
      <c r="D72" s="15">
        <v>899.5</v>
      </c>
      <c r="E72" s="16">
        <v>6634780780.866711</v>
      </c>
      <c r="F72" s="1">
        <v>3.2644914575663067</v>
      </c>
      <c r="G72" s="15">
        <f t="shared" si="25"/>
        <v>0.7</v>
      </c>
      <c r="H72" s="15">
        <f t="shared" si="24"/>
        <v>0.30000000000000004</v>
      </c>
      <c r="J72" s="19">
        <f t="shared" si="26"/>
        <v>0.010730350084273636</v>
      </c>
      <c r="K72" s="19">
        <f t="shared" si="27"/>
        <v>1.1572279727475017</v>
      </c>
      <c r="L72" s="19"/>
      <c r="M72" s="19">
        <f t="shared" si="28"/>
        <v>-0.003725477249092594</v>
      </c>
      <c r="N72" s="19">
        <f t="shared" si="29"/>
        <v>0.019781877403451522</v>
      </c>
      <c r="O72" s="19">
        <f t="shared" si="30"/>
        <v>0.00606111554236191</v>
      </c>
      <c r="P72" s="19"/>
      <c r="Q72" s="20"/>
      <c r="R72" s="20"/>
      <c r="S72" s="20"/>
    </row>
    <row r="73" spans="3:19" ht="12.75">
      <c r="C73" s="14"/>
      <c r="D73" s="15"/>
      <c r="E73" s="16"/>
      <c r="F73" s="19"/>
      <c r="G73" s="15"/>
      <c r="J73" s="19"/>
      <c r="K73" s="19"/>
      <c r="L73" s="19"/>
      <c r="M73" s="21"/>
      <c r="N73" s="19"/>
      <c r="O73" s="19"/>
      <c r="P73" s="19"/>
      <c r="Q73" s="20"/>
      <c r="R73" s="20"/>
      <c r="S73" s="20"/>
    </row>
    <row r="74" spans="1:19" ht="12.75">
      <c r="A74" s="22" t="s">
        <v>262</v>
      </c>
      <c r="C74" s="19">
        <f>EXP(1/9*LN(C72/C63))-1</f>
        <v>0.0409861575526973</v>
      </c>
      <c r="D74" s="19">
        <f>EXP(1/9*LN(D72/D63))-1</f>
        <v>0.0015854519540006162</v>
      </c>
      <c r="E74" s="19">
        <f>EXP(1/9*LN(E72/E63))-1</f>
        <v>0.06780589919221636</v>
      </c>
      <c r="F74" s="19">
        <f>EXP(1/9*LN(F72/F63))-1</f>
        <v>0.004212582824426159</v>
      </c>
      <c r="H74" s="25"/>
      <c r="J74" s="20"/>
      <c r="K74" s="19">
        <f>EXP(1/9*LN(K72/K63))-1</f>
        <v>0.01635761863420515</v>
      </c>
      <c r="L74" s="26"/>
      <c r="M74" s="19">
        <f>AVERAGE(M64:M72)</f>
        <v>0.0011089375163311952</v>
      </c>
      <c r="N74" s="19">
        <f>AVERAGE(N64:N72)</f>
        <v>0.0196817945074438</v>
      </c>
      <c r="O74" s="19">
        <f>AVERAGE(O64:O72)</f>
        <v>0.0029426143162934867</v>
      </c>
      <c r="P74" s="19"/>
      <c r="Q74" s="19"/>
      <c r="R74" s="19"/>
      <c r="S74" s="19"/>
    </row>
    <row r="75" spans="1:22" ht="12.75">
      <c r="A75" s="22" t="s">
        <v>274</v>
      </c>
      <c r="C75" s="19"/>
      <c r="D75" s="19">
        <f>D74*G63</f>
        <v>0.0011098163678004312</v>
      </c>
      <c r="E75" s="19">
        <f>E74*H63</f>
        <v>0.02034176975766491</v>
      </c>
      <c r="F75" s="19">
        <f>F74*G63</f>
        <v>0.002948807977098311</v>
      </c>
      <c r="G75" s="19"/>
      <c r="H75" s="25"/>
      <c r="J75" s="20"/>
      <c r="K75" s="19">
        <f>K74</f>
        <v>0.01635761863420515</v>
      </c>
      <c r="L75" s="26"/>
      <c r="M75" s="19"/>
      <c r="N75" s="19"/>
      <c r="O75" s="19"/>
      <c r="P75" s="19"/>
      <c r="Q75" s="19"/>
      <c r="R75" s="19"/>
      <c r="S75" s="19"/>
      <c r="U75" s="20"/>
      <c r="V75" s="20"/>
    </row>
    <row r="76" spans="1:12" ht="15" customHeight="1">
      <c r="A76" s="22" t="s">
        <v>263</v>
      </c>
      <c r="H76" s="22"/>
      <c r="J76" s="19"/>
      <c r="K76" s="19">
        <f>EXP(1/8*LN(K72/K64))-1</f>
        <v>0.013296837024477703</v>
      </c>
      <c r="L76" s="19"/>
    </row>
    <row r="78" spans="1:17" ht="12.75">
      <c r="A78" s="22" t="s">
        <v>272</v>
      </c>
      <c r="J78" s="22" t="s">
        <v>71</v>
      </c>
      <c r="K78" s="22"/>
      <c r="L78" s="22"/>
      <c r="M78" s="22" t="s">
        <v>276</v>
      </c>
      <c r="Q78" s="22"/>
    </row>
    <row r="80" spans="3:15" ht="12.75">
      <c r="C80" s="13" t="s">
        <v>44</v>
      </c>
      <c r="D80" s="13" t="s">
        <v>45</v>
      </c>
      <c r="E80" s="13" t="s">
        <v>46</v>
      </c>
      <c r="F80" s="13" t="s">
        <v>47</v>
      </c>
      <c r="G80" s="22" t="s">
        <v>26</v>
      </c>
      <c r="H80" s="22" t="s">
        <v>27</v>
      </c>
      <c r="I80" s="22"/>
      <c r="J80" s="22" t="s">
        <v>73</v>
      </c>
      <c r="K80" s="22" t="s">
        <v>261</v>
      </c>
      <c r="L80" s="22"/>
      <c r="M80" s="22" t="s">
        <v>72</v>
      </c>
      <c r="N80" s="22" t="s">
        <v>48</v>
      </c>
      <c r="O80" s="22" t="s">
        <v>51</v>
      </c>
    </row>
    <row r="82" spans="1:19" ht="12.75">
      <c r="A82" s="13">
        <v>1993</v>
      </c>
      <c r="C82" s="14">
        <v>2164094.5580999996</v>
      </c>
      <c r="D82" s="15">
        <v>886.7661316098731</v>
      </c>
      <c r="E82" s="14">
        <v>2164094.5580999996</v>
      </c>
      <c r="F82" s="19">
        <v>1</v>
      </c>
      <c r="G82" s="15">
        <v>0.7</v>
      </c>
      <c r="H82" s="15">
        <f>1-G82</f>
        <v>0.30000000000000004</v>
      </c>
      <c r="J82" s="17"/>
      <c r="K82" s="17">
        <v>1</v>
      </c>
      <c r="L82" s="17"/>
      <c r="M82" s="18"/>
      <c r="Q82" s="20"/>
      <c r="R82" s="20"/>
      <c r="S82" s="20"/>
    </row>
    <row r="83" spans="1:19" ht="12.75">
      <c r="A83" s="13">
        <f aca="true" t="shared" si="31" ref="A83:A91">A82+1</f>
        <v>1994</v>
      </c>
      <c r="C83" s="14">
        <v>2279186.31</v>
      </c>
      <c r="D83" s="15">
        <v>883.2190670834336</v>
      </c>
      <c r="E83" s="14">
        <v>2279186.31</v>
      </c>
      <c r="F83" s="19">
        <v>1.0148890069781498</v>
      </c>
      <c r="G83" s="15">
        <f>G82</f>
        <v>0.7</v>
      </c>
      <c r="H83" s="15">
        <f aca="true" t="shared" si="32" ref="H83:H91">1-G83</f>
        <v>0.30000000000000004</v>
      </c>
      <c r="J83" s="19">
        <f>LN(C83/C82)-(H83+H82)/2*LN(E83/E82)-(G83+G82)/2*LN(D83/D82)-(G83+G82)/2*LN(F83/F82)</f>
        <v>0.028731646506413383</v>
      </c>
      <c r="K83" s="19">
        <f>K82*(1+J83)</f>
        <v>1.0287316465064134</v>
      </c>
      <c r="L83" s="19"/>
      <c r="M83" s="19">
        <f>(G83+G82)/2*LN(D83/D82)</f>
        <v>-0.002805614978277175</v>
      </c>
      <c r="N83" s="19">
        <f>(H83+H82)/2*LN(E83/E82)</f>
        <v>0.015544932504226616</v>
      </c>
      <c r="O83" s="19">
        <f>(G83+G82)/2*LN(F83/F82)</f>
        <v>0.010345477648392552</v>
      </c>
      <c r="Q83" s="20"/>
      <c r="R83" s="20"/>
      <c r="S83" s="20"/>
    </row>
    <row r="84" spans="1:19" ht="12.75">
      <c r="A84" s="13">
        <f t="shared" si="31"/>
        <v>1995</v>
      </c>
      <c r="C84" s="14">
        <v>2372657</v>
      </c>
      <c r="D84" s="15">
        <v>892.4170113007934</v>
      </c>
      <c r="E84" s="14">
        <v>2372657</v>
      </c>
      <c r="F84" s="19">
        <v>1.0225740820197315</v>
      </c>
      <c r="G84" s="15">
        <f aca="true" t="shared" si="33" ref="G84:G91">G83</f>
        <v>0.7</v>
      </c>
      <c r="H84" s="15">
        <f t="shared" si="32"/>
        <v>0.30000000000000004</v>
      </c>
      <c r="J84" s="19">
        <f aca="true" t="shared" si="34" ref="J84:J91">LN(C84/C83)-(H84+H83)/2*LN(E84/E83)-(G84+G83)/2*LN(D84/D83)-(G84+G83)/2*LN(F84/F83)</f>
        <v>0.015601502907130305</v>
      </c>
      <c r="K84" s="19">
        <f aca="true" t="shared" si="35" ref="K84:K91">K83*(1+J84)</f>
        <v>1.0447814062800402</v>
      </c>
      <c r="L84" s="19"/>
      <c r="M84" s="19">
        <f aca="true" t="shared" si="36" ref="M84:M91">(G84+G83)/2*LN(D84/D83)</f>
        <v>0.007252182607323021</v>
      </c>
      <c r="N84" s="19">
        <f aca="true" t="shared" si="37" ref="N84:N91">(H84+H83)/2*LN(E84/E83)</f>
        <v>0.012057577963030777</v>
      </c>
      <c r="O84" s="19">
        <f aca="true" t="shared" si="38" ref="O84:O91">(G84+G83)/2*LN(F84/F83)</f>
        <v>0.005280663065951816</v>
      </c>
      <c r="P84" s="19"/>
      <c r="Q84" s="20"/>
      <c r="R84" s="20"/>
      <c r="S84" s="20"/>
    </row>
    <row r="85" spans="1:19" ht="12.75">
      <c r="A85" s="13">
        <f t="shared" si="31"/>
        <v>1996</v>
      </c>
      <c r="C85" s="14">
        <v>2460053.201082056</v>
      </c>
      <c r="D85" s="15">
        <v>883.7601226256311</v>
      </c>
      <c r="E85" s="14">
        <v>2460053.201082056</v>
      </c>
      <c r="F85" s="19">
        <v>1.027114026869144</v>
      </c>
      <c r="G85" s="15">
        <f t="shared" si="33"/>
        <v>0.7</v>
      </c>
      <c r="H85" s="15">
        <f t="shared" si="32"/>
        <v>0.30000000000000004</v>
      </c>
      <c r="J85" s="19">
        <f t="shared" si="34"/>
        <v>0.029043356793144747</v>
      </c>
      <c r="K85" s="19">
        <f t="shared" si="35"/>
        <v>1.075125365433475</v>
      </c>
      <c r="L85" s="19"/>
      <c r="M85" s="19">
        <f t="shared" si="36"/>
        <v>-0.006823497432555865</v>
      </c>
      <c r="N85" s="19">
        <f t="shared" si="37"/>
        <v>0.010851765579927458</v>
      </c>
      <c r="O85" s="19">
        <f t="shared" si="38"/>
        <v>0.0031009269925751765</v>
      </c>
      <c r="P85" s="19"/>
      <c r="Q85" s="20"/>
      <c r="R85" s="20"/>
      <c r="S85" s="20"/>
    </row>
    <row r="86" spans="1:19" ht="12.75">
      <c r="A86" s="13">
        <f t="shared" si="31"/>
        <v>1997</v>
      </c>
      <c r="C86" s="14">
        <v>2577569.717021164</v>
      </c>
      <c r="D86" s="15">
        <v>879.2152560711709</v>
      </c>
      <c r="E86" s="14">
        <v>2577569.717021164</v>
      </c>
      <c r="F86" s="19">
        <v>1.0449279443408852</v>
      </c>
      <c r="G86" s="15">
        <f t="shared" si="33"/>
        <v>0.7</v>
      </c>
      <c r="H86" s="15">
        <f t="shared" si="32"/>
        <v>0.30000000000000004</v>
      </c>
      <c r="J86" s="19">
        <f t="shared" si="34"/>
        <v>0.024237463921475754</v>
      </c>
      <c r="K86" s="19">
        <f t="shared" si="35"/>
        <v>1.101183677689232</v>
      </c>
      <c r="L86" s="19"/>
      <c r="M86" s="19">
        <f t="shared" si="36"/>
        <v>-0.0036091413122362383</v>
      </c>
      <c r="N86" s="19">
        <f t="shared" si="37"/>
        <v>0.013999202606239653</v>
      </c>
      <c r="O86" s="19">
        <f t="shared" si="38"/>
        <v>0.012036483471986336</v>
      </c>
      <c r="P86" s="19"/>
      <c r="Q86" s="20"/>
      <c r="R86" s="20"/>
      <c r="S86" s="20"/>
    </row>
    <row r="87" spans="1:19" ht="12.75">
      <c r="A87" s="13">
        <f t="shared" si="31"/>
        <v>1998</v>
      </c>
      <c r="C87" s="14">
        <v>2668803.591600994</v>
      </c>
      <c r="D87" s="15">
        <v>879.3234671796105</v>
      </c>
      <c r="E87" s="14">
        <v>2668803.591600994</v>
      </c>
      <c r="F87" s="19">
        <v>1.0705588421125383</v>
      </c>
      <c r="G87" s="15">
        <f t="shared" si="33"/>
        <v>0.7</v>
      </c>
      <c r="H87" s="15">
        <f t="shared" si="32"/>
        <v>0.30000000000000004</v>
      </c>
      <c r="J87" s="19">
        <f t="shared" si="34"/>
        <v>0.007299152368864706</v>
      </c>
      <c r="K87" s="19">
        <f t="shared" si="35"/>
        <v>1.1092213851387926</v>
      </c>
      <c r="L87" s="19"/>
      <c r="M87" s="19">
        <f t="shared" si="36"/>
        <v>8.61485448138095E-05</v>
      </c>
      <c r="N87" s="19">
        <f t="shared" si="37"/>
        <v>0.010434988230339007</v>
      </c>
      <c r="O87" s="19">
        <f t="shared" si="38"/>
        <v>0.016963004957112497</v>
      </c>
      <c r="P87" s="19"/>
      <c r="Q87" s="20"/>
      <c r="R87" s="20"/>
      <c r="S87" s="20"/>
    </row>
    <row r="88" spans="1:19" ht="12.75">
      <c r="A88" s="13">
        <f t="shared" si="31"/>
        <v>1999</v>
      </c>
      <c r="C88" s="14">
        <v>2818198.9676663172</v>
      </c>
      <c r="D88" s="15">
        <v>890.1445780235634</v>
      </c>
      <c r="E88" s="14">
        <v>2818198.9676663172</v>
      </c>
      <c r="F88" s="19">
        <v>1.0922249230438312</v>
      </c>
      <c r="G88" s="15">
        <f t="shared" si="33"/>
        <v>0.7</v>
      </c>
      <c r="H88" s="15">
        <f t="shared" si="32"/>
        <v>0.30000000000000004</v>
      </c>
      <c r="J88" s="19">
        <f t="shared" si="34"/>
        <v>0.015540441458466453</v>
      </c>
      <c r="K88" s="19">
        <f t="shared" si="35"/>
        <v>1.1264591751390212</v>
      </c>
      <c r="L88" s="19"/>
      <c r="M88" s="19">
        <f t="shared" si="36"/>
        <v>0.008561750569888215</v>
      </c>
      <c r="N88" s="19">
        <f t="shared" si="37"/>
        <v>0.016340321404221817</v>
      </c>
      <c r="O88" s="19">
        <f t="shared" si="38"/>
        <v>0.014025224581496238</v>
      </c>
      <c r="P88" s="19"/>
      <c r="Q88" s="20"/>
      <c r="R88" s="20"/>
      <c r="S88" s="20"/>
    </row>
    <row r="89" spans="1:19" ht="12.75">
      <c r="A89" s="13">
        <f t="shared" si="31"/>
        <v>2000</v>
      </c>
      <c r="C89" s="14">
        <v>2928821.050097774</v>
      </c>
      <c r="D89" s="15">
        <v>900.1</v>
      </c>
      <c r="E89" s="14">
        <v>2928821.050097774</v>
      </c>
      <c r="F89" s="19">
        <v>1.1105085077175016</v>
      </c>
      <c r="G89" s="15">
        <f t="shared" si="33"/>
        <v>0.7</v>
      </c>
      <c r="H89" s="15">
        <f t="shared" si="32"/>
        <v>0.30000000000000004</v>
      </c>
      <c r="J89" s="19">
        <f t="shared" si="34"/>
        <v>0.007545149995411057</v>
      </c>
      <c r="K89" s="19">
        <f t="shared" si="35"/>
        <v>1.1349584785791522</v>
      </c>
      <c r="L89" s="19"/>
      <c r="M89" s="19">
        <f t="shared" si="36"/>
        <v>0.007785380058741212</v>
      </c>
      <c r="N89" s="19">
        <f t="shared" si="37"/>
        <v>0.011550585931846638</v>
      </c>
      <c r="O89" s="19">
        <f t="shared" si="38"/>
        <v>0.011620837120156553</v>
      </c>
      <c r="P89" s="19"/>
      <c r="Q89" s="20"/>
      <c r="R89" s="20"/>
      <c r="S89" s="20"/>
    </row>
    <row r="90" spans="1:19" ht="12.75">
      <c r="A90" s="13">
        <f t="shared" si="31"/>
        <v>2001</v>
      </c>
      <c r="C90" s="14">
        <v>3006181.355828385</v>
      </c>
      <c r="D90" s="15">
        <v>904.3</v>
      </c>
      <c r="E90" s="14">
        <v>3006181.355828385</v>
      </c>
      <c r="F90" s="19">
        <v>1.1270168498481106</v>
      </c>
      <c r="G90" s="15">
        <f t="shared" si="33"/>
        <v>0.7</v>
      </c>
      <c r="H90" s="15">
        <f t="shared" si="32"/>
        <v>0.30000000000000004</v>
      </c>
      <c r="J90" s="19">
        <f t="shared" si="34"/>
        <v>0.004661436294069874</v>
      </c>
      <c r="K90" s="19">
        <f t="shared" si="35"/>
        <v>1.1402490152234632</v>
      </c>
      <c r="L90" s="19"/>
      <c r="M90" s="19">
        <f t="shared" si="36"/>
        <v>0.0032587068383763715</v>
      </c>
      <c r="N90" s="19">
        <f t="shared" si="37"/>
        <v>0.007821195214737483</v>
      </c>
      <c r="O90" s="19">
        <f t="shared" si="38"/>
        <v>0.010329312368607874</v>
      </c>
      <c r="P90" s="19"/>
      <c r="Q90" s="20"/>
      <c r="R90" s="20"/>
      <c r="S90" s="20"/>
    </row>
    <row r="91" spans="1:19" ht="12.75">
      <c r="A91" s="13">
        <f t="shared" si="31"/>
        <v>2002</v>
      </c>
      <c r="C91" s="14">
        <v>3106567.710168912</v>
      </c>
      <c r="D91" s="15">
        <v>899.5</v>
      </c>
      <c r="E91" s="14">
        <v>3106567.710168912</v>
      </c>
      <c r="F91" s="19">
        <v>1.1544584044513768</v>
      </c>
      <c r="G91" s="15">
        <f t="shared" si="33"/>
        <v>0.7</v>
      </c>
      <c r="H91" s="15">
        <f t="shared" si="32"/>
        <v>0.30000000000000004</v>
      </c>
      <c r="J91" s="19">
        <f t="shared" si="34"/>
        <v>0.0098789894290271</v>
      </c>
      <c r="K91" s="19">
        <f t="shared" si="35"/>
        <v>1.1515135231913145</v>
      </c>
      <c r="L91" s="19"/>
      <c r="M91" s="19">
        <f t="shared" si="36"/>
        <v>-0.003725477249092594</v>
      </c>
      <c r="N91" s="19">
        <f t="shared" si="37"/>
        <v>0.009854359734298344</v>
      </c>
      <c r="O91" s="19">
        <f t="shared" si="38"/>
        <v>0.016839993866761625</v>
      </c>
      <c r="P91" s="19"/>
      <c r="Q91" s="20"/>
      <c r="R91" s="20"/>
      <c r="S91" s="20"/>
    </row>
    <row r="92" spans="3:19" ht="12.75">
      <c r="C92" s="14"/>
      <c r="D92" s="15"/>
      <c r="E92" s="16"/>
      <c r="F92" s="19"/>
      <c r="G92" s="15"/>
      <c r="J92" s="19"/>
      <c r="K92" s="19"/>
      <c r="L92" s="19"/>
      <c r="M92" s="21"/>
      <c r="N92" s="19"/>
      <c r="O92" s="19"/>
      <c r="P92" s="19"/>
      <c r="Q92" s="20"/>
      <c r="R92" s="20"/>
      <c r="S92" s="20"/>
    </row>
    <row r="93" spans="1:19" ht="12.75">
      <c r="A93" s="22" t="s">
        <v>262</v>
      </c>
      <c r="C93" s="19">
        <f>EXP(1/9*LN(C91/C82))-1</f>
        <v>0.0409861575526973</v>
      </c>
      <c r="D93" s="19">
        <f>EXP(1/9*LN(D91/D82))-1</f>
        <v>0.0015854519540006162</v>
      </c>
      <c r="E93" s="19">
        <f>EXP(1/9*LN(E91/E82))-1</f>
        <v>0.0409861575526973</v>
      </c>
      <c r="F93" s="19">
        <f>EXP(1/9*LN(F91/F82))-1</f>
        <v>0.016087061123357227</v>
      </c>
      <c r="H93" s="25"/>
      <c r="J93" s="20"/>
      <c r="K93" s="19">
        <f>EXP(1/9*LN(K91/K82))-1</f>
        <v>0.015798743763528078</v>
      </c>
      <c r="L93" s="26"/>
      <c r="M93" s="19">
        <f>AVERAGE(M83:M91)</f>
        <v>0.0011089375163311952</v>
      </c>
      <c r="N93" s="19">
        <f>AVERAGE(N83:N91)</f>
        <v>0.012050547685429755</v>
      </c>
      <c r="O93" s="19">
        <f>AVERAGE(O83:O91)</f>
        <v>0.011171324897004517</v>
      </c>
      <c r="P93" s="19"/>
      <c r="Q93" s="19"/>
      <c r="R93" s="19"/>
      <c r="S93" s="19"/>
    </row>
    <row r="94" spans="1:22" ht="12.75">
      <c r="A94" s="22" t="s">
        <v>274</v>
      </c>
      <c r="C94" s="19"/>
      <c r="D94" s="19">
        <f>D93*G82</f>
        <v>0.0011098163678004312</v>
      </c>
      <c r="E94" s="19">
        <f>E93*H82</f>
        <v>0.012295847265809191</v>
      </c>
      <c r="F94" s="19">
        <f>F93*G82</f>
        <v>0.011260942786350057</v>
      </c>
      <c r="G94" s="19"/>
      <c r="H94" s="25"/>
      <c r="J94" s="20"/>
      <c r="K94" s="19">
        <f>K93</f>
        <v>0.015798743763528078</v>
      </c>
      <c r="L94" s="26"/>
      <c r="M94" s="21"/>
      <c r="N94" s="19"/>
      <c r="O94" s="19"/>
      <c r="P94" s="19"/>
      <c r="Q94" s="19"/>
      <c r="R94" s="19"/>
      <c r="S94" s="19"/>
      <c r="U94" s="20"/>
      <c r="V94" s="20"/>
    </row>
    <row r="95" spans="1:15" ht="15" customHeight="1">
      <c r="A95" s="22"/>
      <c r="H95" s="22"/>
      <c r="J95" s="19"/>
      <c r="K95" s="20"/>
      <c r="L95" s="19"/>
      <c r="M95" s="19"/>
      <c r="N95" s="19"/>
      <c r="O95" s="19"/>
    </row>
    <row r="97" spans="1:17" ht="12.75">
      <c r="A97" s="22" t="s">
        <v>273</v>
      </c>
      <c r="J97" s="22" t="s">
        <v>71</v>
      </c>
      <c r="K97" s="22"/>
      <c r="L97" s="22"/>
      <c r="M97" s="22" t="s">
        <v>276</v>
      </c>
      <c r="Q97" s="22"/>
    </row>
    <row r="98" spans="21:22" ht="12.75">
      <c r="U98" s="20"/>
      <c r="V98" s="20"/>
    </row>
    <row r="99" spans="3:22" ht="12.75">
      <c r="C99" s="13" t="s">
        <v>44</v>
      </c>
      <c r="D99" s="13" t="s">
        <v>45</v>
      </c>
      <c r="E99" s="13" t="s">
        <v>46</v>
      </c>
      <c r="F99" s="13" t="s">
        <v>47</v>
      </c>
      <c r="G99" s="22" t="s">
        <v>26</v>
      </c>
      <c r="H99" s="22" t="s">
        <v>27</v>
      </c>
      <c r="I99" s="22"/>
      <c r="J99" s="22" t="s">
        <v>73</v>
      </c>
      <c r="K99" s="22" t="s">
        <v>261</v>
      </c>
      <c r="L99" s="22"/>
      <c r="M99" s="22" t="s">
        <v>72</v>
      </c>
      <c r="N99" s="22" t="s">
        <v>48</v>
      </c>
      <c r="O99" s="22" t="s">
        <v>51</v>
      </c>
      <c r="U99" s="20"/>
      <c r="V99" s="20"/>
    </row>
    <row r="100" spans="21:22" ht="12.75">
      <c r="U100" s="20"/>
      <c r="V100" s="20"/>
    </row>
    <row r="101" spans="1:22" ht="12.75">
      <c r="A101" s="13">
        <v>1993</v>
      </c>
      <c r="C101" s="14">
        <v>2164094.5580999996</v>
      </c>
      <c r="D101" s="15">
        <v>886.7661316098731</v>
      </c>
      <c r="E101" s="16">
        <v>3676171260.4204464</v>
      </c>
      <c r="F101" s="19">
        <v>1</v>
      </c>
      <c r="G101" s="15">
        <v>0.7</v>
      </c>
      <c r="H101" s="15">
        <f>1-G101</f>
        <v>0.30000000000000004</v>
      </c>
      <c r="J101" s="17"/>
      <c r="K101" s="17">
        <v>1</v>
      </c>
      <c r="L101" s="17"/>
      <c r="M101" s="18"/>
      <c r="Q101" s="20"/>
      <c r="R101" s="20"/>
      <c r="S101" s="20"/>
      <c r="U101" s="20"/>
      <c r="V101" s="20"/>
    </row>
    <row r="102" spans="1:22" ht="12.75">
      <c r="A102" s="13">
        <f aca="true" t="shared" si="39" ref="A102:A110">A101+1</f>
        <v>1994</v>
      </c>
      <c r="C102" s="14">
        <v>2279186.31</v>
      </c>
      <c r="D102" s="15">
        <v>883.2190670834336</v>
      </c>
      <c r="E102" s="16">
        <v>3819331627.888913</v>
      </c>
      <c r="F102" s="19">
        <f>F101</f>
        <v>1</v>
      </c>
      <c r="G102" s="15">
        <f>G101</f>
        <v>0.7</v>
      </c>
      <c r="H102" s="15">
        <f aca="true" t="shared" si="40" ref="H102:H110">1-G102</f>
        <v>0.30000000000000004</v>
      </c>
      <c r="J102" s="19">
        <f>LN(C102/C101)-(H102+H101)/2*LN(E102/E101)-(G102+G101)/2*LN(D102/D101)-(G102+G101)/2*LN(F102/F101)</f>
        <v>0.04316096208416687</v>
      </c>
      <c r="K102" s="19">
        <f>K101*(1+J102)</f>
        <v>1.0431609620841669</v>
      </c>
      <c r="L102" s="19"/>
      <c r="M102" s="19">
        <f>(G102+G101)/2*LN(D102/D101)</f>
        <v>-0.002805614978277175</v>
      </c>
      <c r="N102" s="19">
        <f>(H102+H101)/2*LN(E102/E101)</f>
        <v>0.011461094574865677</v>
      </c>
      <c r="O102" s="19">
        <f>(G102+G101)/2*LN(F102/F101)</f>
        <v>0</v>
      </c>
      <c r="Q102" s="20"/>
      <c r="R102" s="20"/>
      <c r="S102" s="20"/>
      <c r="U102" s="20"/>
      <c r="V102" s="20"/>
    </row>
    <row r="103" spans="1:22" ht="12.75">
      <c r="A103" s="13">
        <f t="shared" si="39"/>
        <v>1995</v>
      </c>
      <c r="C103" s="14">
        <v>2372657</v>
      </c>
      <c r="D103" s="15">
        <v>892.4170113007934</v>
      </c>
      <c r="E103" s="16">
        <v>4022354755.797245</v>
      </c>
      <c r="F103" s="19">
        <f aca="true" t="shared" si="41" ref="F103:F110">F102</f>
        <v>1</v>
      </c>
      <c r="G103" s="15">
        <f aca="true" t="shared" si="42" ref="G103:G110">G102</f>
        <v>0.7</v>
      </c>
      <c r="H103" s="15">
        <f t="shared" si="40"/>
        <v>0.30000000000000004</v>
      </c>
      <c r="J103" s="19">
        <f aca="true" t="shared" si="43" ref="J103:J110">LN(C103/C102)-(H103+H102)/2*LN(E103/E102)-(G103+G102)/2*LN(D103/D102)-(G103+G102)/2*LN(F103/F102)</f>
        <v>0.01740212878606553</v>
      </c>
      <c r="K103" s="19">
        <f aca="true" t="shared" si="44" ref="K103:K110">K102*(1+J103)</f>
        <v>1.0613141834909516</v>
      </c>
      <c r="L103" s="19"/>
      <c r="M103" s="19">
        <f aca="true" t="shared" si="45" ref="M103:M110">(G103+G102)/2*LN(D103/D102)</f>
        <v>0.007252182607323021</v>
      </c>
      <c r="N103" s="19">
        <f aca="true" t="shared" si="46" ref="N103:N110">(H103+H102)/2*LN(E103/E102)</f>
        <v>0.015537615150047365</v>
      </c>
      <c r="O103" s="19">
        <f aca="true" t="shared" si="47" ref="O103:O110">(G103+G102)/2*LN(F103/F102)</f>
        <v>0</v>
      </c>
      <c r="P103" s="19"/>
      <c r="Q103" s="20"/>
      <c r="R103" s="20"/>
      <c r="S103" s="20"/>
      <c r="U103" s="20"/>
      <c r="V103" s="20"/>
    </row>
    <row r="104" spans="1:22" ht="12.75">
      <c r="A104" s="13">
        <f t="shared" si="39"/>
        <v>1996</v>
      </c>
      <c r="C104" s="14">
        <v>2460053.201082056</v>
      </c>
      <c r="D104" s="15">
        <v>883.7601226256311</v>
      </c>
      <c r="E104" s="16">
        <v>4265435055.1898003</v>
      </c>
      <c r="F104" s="19">
        <f t="shared" si="41"/>
        <v>1</v>
      </c>
      <c r="G104" s="15">
        <f t="shared" si="42"/>
        <v>0.7</v>
      </c>
      <c r="H104" s="15">
        <f t="shared" si="40"/>
        <v>0.30000000000000004</v>
      </c>
      <c r="J104" s="19">
        <f t="shared" si="43"/>
        <v>0.02539304225807546</v>
      </c>
      <c r="K104" s="19">
        <f t="shared" si="44"/>
        <v>1.0882641794014323</v>
      </c>
      <c r="L104" s="19"/>
      <c r="M104" s="19">
        <f t="shared" si="45"/>
        <v>-0.006823497432555865</v>
      </c>
      <c r="N104" s="19">
        <f t="shared" si="46"/>
        <v>0.01760300710757192</v>
      </c>
      <c r="O104" s="19">
        <f t="shared" si="47"/>
        <v>0</v>
      </c>
      <c r="P104" s="19"/>
      <c r="Q104" s="20"/>
      <c r="R104" s="20"/>
      <c r="S104" s="20"/>
      <c r="U104" s="20"/>
      <c r="V104" s="20"/>
    </row>
    <row r="105" spans="1:22" ht="12.75">
      <c r="A105" s="13">
        <f t="shared" si="39"/>
        <v>1997</v>
      </c>
      <c r="C105" s="14">
        <v>2577569.717021164</v>
      </c>
      <c r="D105" s="15">
        <v>879.2152560711709</v>
      </c>
      <c r="E105" s="16">
        <v>4563783165.652029</v>
      </c>
      <c r="F105" s="19">
        <f t="shared" si="41"/>
        <v>1</v>
      </c>
      <c r="G105" s="15">
        <f t="shared" si="42"/>
        <v>0.7</v>
      </c>
      <c r="H105" s="15">
        <f t="shared" si="40"/>
        <v>0.30000000000000004</v>
      </c>
      <c r="J105" s="19">
        <f t="shared" si="43"/>
        <v>0.02999082814768033</v>
      </c>
      <c r="K105" s="19">
        <f t="shared" si="44"/>
        <v>1.120902123385137</v>
      </c>
      <c r="L105" s="19"/>
      <c r="M105" s="19">
        <f t="shared" si="45"/>
        <v>-0.0036091413122362383</v>
      </c>
      <c r="N105" s="19">
        <f t="shared" si="46"/>
        <v>0.020282321852021407</v>
      </c>
      <c r="O105" s="19">
        <f t="shared" si="47"/>
        <v>0</v>
      </c>
      <c r="P105" s="19"/>
      <c r="Q105" s="20"/>
      <c r="R105" s="20"/>
      <c r="S105" s="20"/>
      <c r="U105" s="20"/>
      <c r="V105" s="20"/>
    </row>
    <row r="106" spans="1:22" ht="12.75">
      <c r="A106" s="13">
        <f t="shared" si="39"/>
        <v>1998</v>
      </c>
      <c r="C106" s="14">
        <v>2668803.591600994</v>
      </c>
      <c r="D106" s="15">
        <v>879.3234671796105</v>
      </c>
      <c r="E106" s="16">
        <v>4901238581.613424</v>
      </c>
      <c r="F106" s="19">
        <f t="shared" si="41"/>
        <v>1</v>
      </c>
      <c r="G106" s="15">
        <f t="shared" si="42"/>
        <v>0.7</v>
      </c>
      <c r="H106" s="15">
        <f t="shared" si="40"/>
        <v>0.30000000000000004</v>
      </c>
      <c r="J106" s="19">
        <f t="shared" si="43"/>
        <v>0.013296338422698374</v>
      </c>
      <c r="K106" s="19">
        <f t="shared" si="44"/>
        <v>1.1358060173563869</v>
      </c>
      <c r="L106" s="19"/>
      <c r="M106" s="19">
        <f t="shared" si="45"/>
        <v>8.61485448138095E-05</v>
      </c>
      <c r="N106" s="19">
        <f t="shared" si="46"/>
        <v>0.021400807133617836</v>
      </c>
      <c r="O106" s="19">
        <f t="shared" si="47"/>
        <v>0</v>
      </c>
      <c r="P106" s="19"/>
      <c r="Q106" s="20"/>
      <c r="R106" s="20"/>
      <c r="S106" s="20"/>
      <c r="U106" s="20"/>
      <c r="V106" s="20"/>
    </row>
    <row r="107" spans="1:22" ht="12.75">
      <c r="A107" s="13">
        <f t="shared" si="39"/>
        <v>1999</v>
      </c>
      <c r="C107" s="14">
        <v>2818198.9676663172</v>
      </c>
      <c r="D107" s="15">
        <v>890.1445780235634</v>
      </c>
      <c r="E107" s="16">
        <v>5356531196.819725</v>
      </c>
      <c r="F107" s="19">
        <f t="shared" si="41"/>
        <v>1</v>
      </c>
      <c r="G107" s="15">
        <f t="shared" si="42"/>
        <v>0.7</v>
      </c>
      <c r="H107" s="15">
        <f t="shared" si="40"/>
        <v>0.30000000000000004</v>
      </c>
      <c r="J107" s="19">
        <f t="shared" si="43"/>
        <v>0.019257390681464703</v>
      </c>
      <c r="K107" s="19">
        <f t="shared" si="44"/>
        <v>1.157678677570977</v>
      </c>
      <c r="L107" s="19"/>
      <c r="M107" s="19">
        <f t="shared" si="45"/>
        <v>0.008561750569888215</v>
      </c>
      <c r="N107" s="19">
        <f t="shared" si="46"/>
        <v>0.0266485967627198</v>
      </c>
      <c r="O107" s="19">
        <f t="shared" si="47"/>
        <v>0</v>
      </c>
      <c r="P107" s="19"/>
      <c r="Q107" s="20"/>
      <c r="R107" s="20"/>
      <c r="S107" s="20"/>
      <c r="U107" s="20"/>
      <c r="V107" s="20"/>
    </row>
    <row r="108" spans="1:22" ht="12.75">
      <c r="A108" s="13">
        <f t="shared" si="39"/>
        <v>2000</v>
      </c>
      <c r="C108" s="14">
        <v>2928821.050097774</v>
      </c>
      <c r="D108" s="15">
        <v>900.1</v>
      </c>
      <c r="E108" s="16">
        <v>5782749177.526379</v>
      </c>
      <c r="F108" s="19">
        <f t="shared" si="41"/>
        <v>1</v>
      </c>
      <c r="G108" s="15">
        <f t="shared" si="42"/>
        <v>0.7</v>
      </c>
      <c r="H108" s="15">
        <f t="shared" si="40"/>
        <v>0.30000000000000004</v>
      </c>
      <c r="J108" s="19">
        <f t="shared" si="43"/>
        <v>0.0077477915334039004</v>
      </c>
      <c r="K108" s="19">
        <f t="shared" si="44"/>
        <v>1.1666481306274636</v>
      </c>
      <c r="L108" s="19"/>
      <c r="M108" s="19">
        <f t="shared" si="45"/>
        <v>0.007785380058741212</v>
      </c>
      <c r="N108" s="19">
        <f t="shared" si="46"/>
        <v>0.022968781514010345</v>
      </c>
      <c r="O108" s="19">
        <f t="shared" si="47"/>
        <v>0</v>
      </c>
      <c r="P108" s="19"/>
      <c r="Q108" s="20"/>
      <c r="R108" s="20"/>
      <c r="S108" s="20"/>
      <c r="U108" s="20"/>
      <c r="V108" s="20"/>
    </row>
    <row r="109" spans="1:22" ht="12.75">
      <c r="A109" s="13">
        <f t="shared" si="39"/>
        <v>2001</v>
      </c>
      <c r="C109" s="14">
        <v>3006181.355828385</v>
      </c>
      <c r="D109" s="15">
        <v>904.3</v>
      </c>
      <c r="E109" s="16">
        <v>6211398277.6616955</v>
      </c>
      <c r="F109" s="19">
        <f t="shared" si="41"/>
        <v>1</v>
      </c>
      <c r="G109" s="15">
        <f t="shared" si="42"/>
        <v>0.7</v>
      </c>
      <c r="H109" s="15">
        <f t="shared" si="40"/>
        <v>0.30000000000000004</v>
      </c>
      <c r="J109" s="19">
        <f t="shared" si="43"/>
        <v>0.0013598948087269022</v>
      </c>
      <c r="K109" s="19">
        <f t="shared" si="44"/>
        <v>1.168234649363915</v>
      </c>
      <c r="L109" s="19"/>
      <c r="M109" s="19">
        <f t="shared" si="45"/>
        <v>0.0032587068383763715</v>
      </c>
      <c r="N109" s="19">
        <f t="shared" si="46"/>
        <v>0.02145204906868833</v>
      </c>
      <c r="O109" s="19">
        <f t="shared" si="47"/>
        <v>0</v>
      </c>
      <c r="P109" s="19"/>
      <c r="Q109" s="20"/>
      <c r="R109" s="20"/>
      <c r="S109" s="20"/>
      <c r="U109" s="20"/>
      <c r="V109" s="20"/>
    </row>
    <row r="110" spans="1:22" ht="12.75">
      <c r="A110" s="13">
        <f t="shared" si="39"/>
        <v>2002</v>
      </c>
      <c r="C110" s="14">
        <v>3106567.710168912</v>
      </c>
      <c r="D110" s="15">
        <v>899.5</v>
      </c>
      <c r="E110" s="16">
        <v>6634780780.866711</v>
      </c>
      <c r="F110" s="19">
        <f t="shared" si="41"/>
        <v>1</v>
      </c>
      <c r="G110" s="15">
        <f t="shared" si="42"/>
        <v>0.7</v>
      </c>
      <c r="H110" s="15">
        <f t="shared" si="40"/>
        <v>0.30000000000000004</v>
      </c>
      <c r="J110" s="19">
        <f t="shared" si="43"/>
        <v>0.016791465626635547</v>
      </c>
      <c r="K110" s="19">
        <f t="shared" si="44"/>
        <v>1.1878510213225537</v>
      </c>
      <c r="L110" s="19"/>
      <c r="M110" s="19">
        <f t="shared" si="45"/>
        <v>-0.003725477249092594</v>
      </c>
      <c r="N110" s="19">
        <f t="shared" si="46"/>
        <v>0.019781877403451522</v>
      </c>
      <c r="O110" s="19">
        <f t="shared" si="47"/>
        <v>0</v>
      </c>
      <c r="P110" s="19"/>
      <c r="Q110" s="20"/>
      <c r="R110" s="20"/>
      <c r="S110" s="20"/>
      <c r="U110" s="20"/>
      <c r="V110" s="20"/>
    </row>
    <row r="111" spans="3:22" ht="12.75">
      <c r="C111" s="14"/>
      <c r="D111" s="15"/>
      <c r="E111" s="16"/>
      <c r="F111" s="19"/>
      <c r="G111" s="15"/>
      <c r="J111" s="19"/>
      <c r="K111" s="19"/>
      <c r="L111" s="19"/>
      <c r="M111" s="21"/>
      <c r="N111" s="19"/>
      <c r="O111" s="19"/>
      <c r="P111" s="19"/>
      <c r="Q111" s="20"/>
      <c r="R111" s="20"/>
      <c r="S111" s="20"/>
      <c r="U111" s="20"/>
      <c r="V111" s="20"/>
    </row>
    <row r="112" spans="1:22" ht="12.75">
      <c r="A112" s="22" t="s">
        <v>262</v>
      </c>
      <c r="C112" s="19">
        <f>EXP(1/9*LN(C110/C101))-1</f>
        <v>0.0409861575526973</v>
      </c>
      <c r="D112" s="19">
        <f>EXP(1/9*LN(D110/D101))-1</f>
        <v>0.0015854519540006162</v>
      </c>
      <c r="E112" s="19">
        <f>EXP(1/9*LN(E110/E101))-1</f>
        <v>0.06780589919221636</v>
      </c>
      <c r="F112" s="19">
        <f>EXP(1/9*LN(F110/F101))-1</f>
        <v>0</v>
      </c>
      <c r="H112" s="25"/>
      <c r="J112" s="20"/>
      <c r="K112" s="19">
        <f>EXP(1/9*LN(K110/K101))-1</f>
        <v>0.019311411174900206</v>
      </c>
      <c r="L112" s="26"/>
      <c r="M112" s="19">
        <f>AVERAGE(M102:M110)</f>
        <v>0.0011089375163311952</v>
      </c>
      <c r="N112" s="19">
        <f>AVERAGE(N102:N110)</f>
        <v>0.0196817945074438</v>
      </c>
      <c r="O112" s="19">
        <f>AVERAGE(O102:O110)</f>
        <v>0</v>
      </c>
      <c r="P112" s="19"/>
      <c r="Q112" s="19"/>
      <c r="R112" s="19"/>
      <c r="S112" s="19"/>
      <c r="U112" s="20"/>
      <c r="V112" s="20"/>
    </row>
    <row r="113" spans="1:22" ht="12.75">
      <c r="A113" s="22" t="s">
        <v>274</v>
      </c>
      <c r="C113" s="19"/>
      <c r="D113" s="19">
        <f>D112*G101</f>
        <v>0.0011098163678004312</v>
      </c>
      <c r="E113" s="19">
        <f>E112*H101</f>
        <v>0.02034176975766491</v>
      </c>
      <c r="F113" s="19">
        <f>F112*G101</f>
        <v>0</v>
      </c>
      <c r="G113" s="19"/>
      <c r="H113" s="25"/>
      <c r="J113" s="20"/>
      <c r="K113" s="19">
        <f>K112</f>
        <v>0.019311411174900206</v>
      </c>
      <c r="L113" s="26"/>
      <c r="M113" s="19"/>
      <c r="N113" s="19"/>
      <c r="O113" s="19"/>
      <c r="P113" s="19"/>
      <c r="Q113" s="19"/>
      <c r="R113" s="19"/>
      <c r="S113" s="19"/>
      <c r="U113" s="20"/>
      <c r="V113" s="20"/>
    </row>
    <row r="114" spans="1:22" ht="12.75">
      <c r="A114" s="22" t="s">
        <v>266</v>
      </c>
      <c r="C114" s="19"/>
      <c r="D114" s="19"/>
      <c r="E114" s="19"/>
      <c r="F114" s="19"/>
      <c r="H114" s="25"/>
      <c r="J114" s="20"/>
      <c r="K114" s="19">
        <f>EXP(1/8*LN(K109/K101))-1</f>
        <v>0.019626843171125286</v>
      </c>
      <c r="L114" s="26"/>
      <c r="M114" s="19"/>
      <c r="N114" s="19"/>
      <c r="O114" s="19"/>
      <c r="P114" s="19"/>
      <c r="Q114" s="19"/>
      <c r="R114" s="19"/>
      <c r="S114" s="19"/>
      <c r="U114" s="20"/>
      <c r="V114" s="20"/>
    </row>
    <row r="115" spans="1:12" ht="15" customHeight="1">
      <c r="A115" s="22" t="s">
        <v>263</v>
      </c>
      <c r="H115" s="22"/>
      <c r="J115" s="19"/>
      <c r="K115" s="19">
        <f>EXP(1/8*LN(K110/K102))-1</f>
        <v>0.01636881481892427</v>
      </c>
      <c r="L115" s="19"/>
    </row>
    <row r="117" spans="1:17" ht="12.75">
      <c r="A117" s="22" t="s">
        <v>275</v>
      </c>
      <c r="J117" s="22" t="s">
        <v>71</v>
      </c>
      <c r="K117" s="22"/>
      <c r="L117" s="22"/>
      <c r="M117" s="22" t="s">
        <v>276</v>
      </c>
      <c r="Q117" s="22"/>
    </row>
    <row r="118" spans="21:22" ht="12.75">
      <c r="U118" s="20"/>
      <c r="V118" s="20"/>
    </row>
    <row r="119" spans="3:22" ht="12.75">
      <c r="C119" s="13" t="s">
        <v>44</v>
      </c>
      <c r="D119" s="13" t="s">
        <v>45</v>
      </c>
      <c r="E119" s="13" t="s">
        <v>46</v>
      </c>
      <c r="F119" s="13" t="s">
        <v>47</v>
      </c>
      <c r="G119" s="22" t="s">
        <v>26</v>
      </c>
      <c r="H119" s="22" t="s">
        <v>27</v>
      </c>
      <c r="I119" s="22"/>
      <c r="J119" s="22" t="s">
        <v>73</v>
      </c>
      <c r="K119" s="22" t="s">
        <v>261</v>
      </c>
      <c r="L119" s="22"/>
      <c r="M119" s="22" t="s">
        <v>72</v>
      </c>
      <c r="N119" s="22" t="s">
        <v>48</v>
      </c>
      <c r="O119" s="22" t="s">
        <v>51</v>
      </c>
      <c r="U119" s="20"/>
      <c r="V119" s="20"/>
    </row>
    <row r="120" spans="21:22" ht="12.75">
      <c r="U120" s="20"/>
      <c r="V120" s="20"/>
    </row>
    <row r="121" spans="1:22" ht="12.75">
      <c r="A121" s="13">
        <v>1993</v>
      </c>
      <c r="C121" s="14">
        <v>2164094.5580999996</v>
      </c>
      <c r="D121" s="15">
        <v>886.7661316098731</v>
      </c>
      <c r="E121" s="16">
        <f>C121</f>
        <v>2164094.5580999996</v>
      </c>
      <c r="F121" s="19">
        <v>1</v>
      </c>
      <c r="G121" s="15">
        <v>0.7</v>
      </c>
      <c r="H121" s="15">
        <f>1-G121</f>
        <v>0.30000000000000004</v>
      </c>
      <c r="J121" s="17"/>
      <c r="K121" s="17">
        <v>1</v>
      </c>
      <c r="L121" s="17"/>
      <c r="M121" s="18"/>
      <c r="Q121" s="20"/>
      <c r="R121" s="20"/>
      <c r="S121" s="20"/>
      <c r="U121" s="20"/>
      <c r="V121" s="20"/>
    </row>
    <row r="122" spans="1:22" ht="12.75">
      <c r="A122" s="13">
        <f aca="true" t="shared" si="48" ref="A122:A130">A121+1</f>
        <v>1994</v>
      </c>
      <c r="C122" s="14">
        <v>2279186.31</v>
      </c>
      <c r="D122" s="15">
        <v>883.2190670834336</v>
      </c>
      <c r="E122" s="16">
        <f aca="true" t="shared" si="49" ref="E122:E130">C122</f>
        <v>2279186.31</v>
      </c>
      <c r="F122" s="19">
        <f>F121</f>
        <v>1</v>
      </c>
      <c r="G122" s="15">
        <f>G121</f>
        <v>0.7</v>
      </c>
      <c r="H122" s="15">
        <f aca="true" t="shared" si="50" ref="H122:H130">1-G122</f>
        <v>0.30000000000000004</v>
      </c>
      <c r="J122" s="19">
        <f>LN(C122/C121)-(H122+H121)/2*LN(E122/E121)-(G122+G121)/2*LN(D122/D121)-(G122+G121)/2*LN(F122/F121)</f>
        <v>0.03907712415480594</v>
      </c>
      <c r="K122" s="19">
        <f>K121*(1+J122)</f>
        <v>1.039077124154806</v>
      </c>
      <c r="L122" s="19"/>
      <c r="M122" s="19">
        <f>(G122+G121)/2*LN(D122/D121)</f>
        <v>-0.002805614978277175</v>
      </c>
      <c r="N122" s="19">
        <f>(H122+H121)/2*LN(E122/E121)</f>
        <v>0.015544932504226616</v>
      </c>
      <c r="O122" s="19">
        <f>(G122+G121)/2*LN(F122/F121)</f>
        <v>0</v>
      </c>
      <c r="Q122" s="20"/>
      <c r="R122" s="20"/>
      <c r="S122" s="20"/>
      <c r="U122" s="20"/>
      <c r="V122" s="20"/>
    </row>
    <row r="123" spans="1:22" ht="12.75">
      <c r="A123" s="13">
        <f t="shared" si="48"/>
        <v>1995</v>
      </c>
      <c r="C123" s="14">
        <v>2372657</v>
      </c>
      <c r="D123" s="15">
        <v>892.4170113007934</v>
      </c>
      <c r="E123" s="16">
        <f t="shared" si="49"/>
        <v>2372657</v>
      </c>
      <c r="F123" s="19">
        <f aca="true" t="shared" si="51" ref="F123:F130">F122</f>
        <v>1</v>
      </c>
      <c r="G123" s="15">
        <f aca="true" t="shared" si="52" ref="G123:G130">G122</f>
        <v>0.7</v>
      </c>
      <c r="H123" s="15">
        <f t="shared" si="50"/>
        <v>0.30000000000000004</v>
      </c>
      <c r="J123" s="19">
        <f aca="true" t="shared" si="53" ref="J123:J130">LN(C123/C122)-(H123+H122)/2*LN(E123/E122)-(G123+G122)/2*LN(D123/D122)-(G123+G122)/2*LN(F123/F122)</f>
        <v>0.02088216597308212</v>
      </c>
      <c r="K123" s="19">
        <f aca="true" t="shared" si="54" ref="K123:K130">K122*(1+J123)</f>
        <v>1.0607753051202393</v>
      </c>
      <c r="L123" s="19"/>
      <c r="M123" s="19">
        <f aca="true" t="shared" si="55" ref="M123:M130">(G123+G122)/2*LN(D123/D122)</f>
        <v>0.007252182607323021</v>
      </c>
      <c r="N123" s="19">
        <f aca="true" t="shared" si="56" ref="N123:N130">(H123+H122)/2*LN(E123/E122)</f>
        <v>0.012057577963030777</v>
      </c>
      <c r="O123" s="19">
        <f aca="true" t="shared" si="57" ref="O123:O130">(G123+G122)/2*LN(F123/F122)</f>
        <v>0</v>
      </c>
      <c r="P123" s="19"/>
      <c r="Q123" s="20"/>
      <c r="R123" s="20"/>
      <c r="S123" s="20"/>
      <c r="U123" s="20"/>
      <c r="V123" s="20"/>
    </row>
    <row r="124" spans="1:22" ht="12.75">
      <c r="A124" s="13">
        <f t="shared" si="48"/>
        <v>1996</v>
      </c>
      <c r="C124" s="14">
        <v>2460053.201082056</v>
      </c>
      <c r="D124" s="15">
        <v>883.7601226256311</v>
      </c>
      <c r="E124" s="16">
        <f t="shared" si="49"/>
        <v>2460053.201082056</v>
      </c>
      <c r="F124" s="19">
        <f t="shared" si="51"/>
        <v>1</v>
      </c>
      <c r="G124" s="15">
        <f t="shared" si="52"/>
        <v>0.7</v>
      </c>
      <c r="H124" s="15">
        <f t="shared" si="50"/>
        <v>0.30000000000000004</v>
      </c>
      <c r="J124" s="19">
        <f t="shared" si="53"/>
        <v>0.03214428378571992</v>
      </c>
      <c r="K124" s="19">
        <f t="shared" si="54"/>
        <v>1.094873167560908</v>
      </c>
      <c r="L124" s="19"/>
      <c r="M124" s="19">
        <f t="shared" si="55"/>
        <v>-0.006823497432555865</v>
      </c>
      <c r="N124" s="19">
        <f t="shared" si="56"/>
        <v>0.010851765579927458</v>
      </c>
      <c r="O124" s="19">
        <f t="shared" si="57"/>
        <v>0</v>
      </c>
      <c r="P124" s="19"/>
      <c r="Q124" s="20"/>
      <c r="R124" s="20"/>
      <c r="S124" s="20"/>
      <c r="U124" s="20"/>
      <c r="V124" s="20"/>
    </row>
    <row r="125" spans="1:22" ht="12.75">
      <c r="A125" s="13">
        <f t="shared" si="48"/>
        <v>1997</v>
      </c>
      <c r="C125" s="14">
        <v>2577569.717021164</v>
      </c>
      <c r="D125" s="15">
        <v>879.2152560711709</v>
      </c>
      <c r="E125" s="16">
        <f t="shared" si="49"/>
        <v>2577569.717021164</v>
      </c>
      <c r="F125" s="19">
        <f t="shared" si="51"/>
        <v>1</v>
      </c>
      <c r="G125" s="15">
        <f t="shared" si="52"/>
        <v>0.7</v>
      </c>
      <c r="H125" s="15">
        <f t="shared" si="50"/>
        <v>0.30000000000000004</v>
      </c>
      <c r="J125" s="19">
        <f t="shared" si="53"/>
        <v>0.03627394739346209</v>
      </c>
      <c r="K125" s="19">
        <f t="shared" si="54"/>
        <v>1.1345885392435255</v>
      </c>
      <c r="L125" s="19"/>
      <c r="M125" s="19">
        <f t="shared" si="55"/>
        <v>-0.0036091413122362383</v>
      </c>
      <c r="N125" s="19">
        <f t="shared" si="56"/>
        <v>0.013999202606239653</v>
      </c>
      <c r="O125" s="19">
        <f t="shared" si="57"/>
        <v>0</v>
      </c>
      <c r="P125" s="19"/>
      <c r="Q125" s="20"/>
      <c r="R125" s="20"/>
      <c r="S125" s="20"/>
      <c r="U125" s="20"/>
      <c r="V125" s="20"/>
    </row>
    <row r="126" spans="1:22" ht="12.75">
      <c r="A126" s="13">
        <f t="shared" si="48"/>
        <v>1998</v>
      </c>
      <c r="C126" s="14">
        <v>2668803.591600994</v>
      </c>
      <c r="D126" s="15">
        <v>879.3234671796105</v>
      </c>
      <c r="E126" s="16">
        <f t="shared" si="49"/>
        <v>2668803.591600994</v>
      </c>
      <c r="F126" s="19">
        <f t="shared" si="51"/>
        <v>1</v>
      </c>
      <c r="G126" s="15">
        <f t="shared" si="52"/>
        <v>0.7</v>
      </c>
      <c r="H126" s="15">
        <f t="shared" si="50"/>
        <v>0.30000000000000004</v>
      </c>
      <c r="J126" s="19">
        <f t="shared" si="53"/>
        <v>0.024262157325977203</v>
      </c>
      <c r="K126" s="19">
        <f t="shared" si="54"/>
        <v>1.1621161048829025</v>
      </c>
      <c r="L126" s="19"/>
      <c r="M126" s="19">
        <f t="shared" si="55"/>
        <v>8.61485448138095E-05</v>
      </c>
      <c r="N126" s="19">
        <f t="shared" si="56"/>
        <v>0.010434988230339007</v>
      </c>
      <c r="O126" s="19">
        <f t="shared" si="57"/>
        <v>0</v>
      </c>
      <c r="P126" s="19"/>
      <c r="Q126" s="20"/>
      <c r="R126" s="20"/>
      <c r="S126" s="20"/>
      <c r="U126" s="20"/>
      <c r="V126" s="20"/>
    </row>
    <row r="127" spans="1:22" ht="12.75">
      <c r="A127" s="13">
        <f t="shared" si="48"/>
        <v>1999</v>
      </c>
      <c r="C127" s="14">
        <v>2818198.9676663172</v>
      </c>
      <c r="D127" s="15">
        <v>890.1445780235634</v>
      </c>
      <c r="E127" s="16">
        <f t="shared" si="49"/>
        <v>2818198.9676663172</v>
      </c>
      <c r="F127" s="19">
        <f t="shared" si="51"/>
        <v>1</v>
      </c>
      <c r="G127" s="15">
        <f t="shared" si="52"/>
        <v>0.7</v>
      </c>
      <c r="H127" s="15">
        <f t="shared" si="50"/>
        <v>0.30000000000000004</v>
      </c>
      <c r="J127" s="19">
        <f t="shared" si="53"/>
        <v>0.02956566603996269</v>
      </c>
      <c r="K127" s="19">
        <f t="shared" si="54"/>
        <v>1.1964748415395325</v>
      </c>
      <c r="L127" s="19"/>
      <c r="M127" s="19">
        <f t="shared" si="55"/>
        <v>0.008561750569888215</v>
      </c>
      <c r="N127" s="19">
        <f t="shared" si="56"/>
        <v>0.016340321404221817</v>
      </c>
      <c r="O127" s="19">
        <f t="shared" si="57"/>
        <v>0</v>
      </c>
      <c r="P127" s="19"/>
      <c r="Q127" s="20"/>
      <c r="R127" s="20"/>
      <c r="S127" s="20"/>
      <c r="U127" s="20"/>
      <c r="V127" s="20"/>
    </row>
    <row r="128" spans="1:22" ht="12.75">
      <c r="A128" s="13">
        <f t="shared" si="48"/>
        <v>2000</v>
      </c>
      <c r="C128" s="14">
        <v>2928821.050097774</v>
      </c>
      <c r="D128" s="15">
        <v>900.1</v>
      </c>
      <c r="E128" s="16">
        <f t="shared" si="49"/>
        <v>2928821.050097774</v>
      </c>
      <c r="F128" s="19">
        <f t="shared" si="51"/>
        <v>1</v>
      </c>
      <c r="G128" s="15">
        <f t="shared" si="52"/>
        <v>0.7</v>
      </c>
      <c r="H128" s="15">
        <f t="shared" si="50"/>
        <v>0.30000000000000004</v>
      </c>
      <c r="J128" s="19">
        <f t="shared" si="53"/>
        <v>0.01916598711556761</v>
      </c>
      <c r="K128" s="19">
        <f t="shared" si="54"/>
        <v>1.21940646293658</v>
      </c>
      <c r="L128" s="19"/>
      <c r="M128" s="19">
        <f t="shared" si="55"/>
        <v>0.007785380058741212</v>
      </c>
      <c r="N128" s="19">
        <f t="shared" si="56"/>
        <v>0.011550585931846638</v>
      </c>
      <c r="O128" s="19">
        <f t="shared" si="57"/>
        <v>0</v>
      </c>
      <c r="P128" s="19"/>
      <c r="Q128" s="20"/>
      <c r="R128" s="20"/>
      <c r="S128" s="20"/>
      <c r="U128" s="20"/>
      <c r="V128" s="20"/>
    </row>
    <row r="129" spans="1:22" ht="12.75">
      <c r="A129" s="13">
        <f t="shared" si="48"/>
        <v>2001</v>
      </c>
      <c r="C129" s="14">
        <v>3006181.355828385</v>
      </c>
      <c r="D129" s="15">
        <v>904.3</v>
      </c>
      <c r="E129" s="16">
        <f t="shared" si="49"/>
        <v>3006181.355828385</v>
      </c>
      <c r="F129" s="19">
        <f t="shared" si="51"/>
        <v>1</v>
      </c>
      <c r="G129" s="15">
        <f t="shared" si="52"/>
        <v>0.7</v>
      </c>
      <c r="H129" s="15">
        <f t="shared" si="50"/>
        <v>0.30000000000000004</v>
      </c>
      <c r="J129" s="19">
        <f t="shared" si="53"/>
        <v>0.014990748662677748</v>
      </c>
      <c r="K129" s="19">
        <f t="shared" si="54"/>
        <v>1.237686278740107</v>
      </c>
      <c r="L129" s="19"/>
      <c r="M129" s="19">
        <f t="shared" si="55"/>
        <v>0.0032587068383763715</v>
      </c>
      <c r="N129" s="19">
        <f t="shared" si="56"/>
        <v>0.007821195214737483</v>
      </c>
      <c r="O129" s="19">
        <f t="shared" si="57"/>
        <v>0</v>
      </c>
      <c r="P129" s="19"/>
      <c r="Q129" s="20"/>
      <c r="R129" s="20"/>
      <c r="S129" s="20"/>
      <c r="U129" s="20"/>
      <c r="V129" s="20"/>
    </row>
    <row r="130" spans="1:22" ht="12.75">
      <c r="A130" s="13">
        <f t="shared" si="48"/>
        <v>2002</v>
      </c>
      <c r="C130" s="14">
        <v>3106567.710168912</v>
      </c>
      <c r="D130" s="15">
        <v>899.5</v>
      </c>
      <c r="E130" s="16">
        <f t="shared" si="49"/>
        <v>3106567.710168912</v>
      </c>
      <c r="F130" s="19">
        <f t="shared" si="51"/>
        <v>1</v>
      </c>
      <c r="G130" s="15">
        <f t="shared" si="52"/>
        <v>0.7</v>
      </c>
      <c r="H130" s="15">
        <f t="shared" si="50"/>
        <v>0.30000000000000004</v>
      </c>
      <c r="J130" s="19">
        <f t="shared" si="53"/>
        <v>0.026718983295788725</v>
      </c>
      <c r="K130" s="19">
        <f t="shared" si="54"/>
        <v>1.270755997747191</v>
      </c>
      <c r="L130" s="19"/>
      <c r="M130" s="19">
        <f t="shared" si="55"/>
        <v>-0.003725477249092594</v>
      </c>
      <c r="N130" s="19">
        <f t="shared" si="56"/>
        <v>0.009854359734298344</v>
      </c>
      <c r="O130" s="19">
        <f t="shared" si="57"/>
        <v>0</v>
      </c>
      <c r="P130" s="19"/>
      <c r="Q130" s="20"/>
      <c r="R130" s="20"/>
      <c r="S130" s="20"/>
      <c r="U130" s="20"/>
      <c r="V130" s="20"/>
    </row>
    <row r="131" spans="3:22" ht="12.75">
      <c r="C131" s="14"/>
      <c r="D131" s="15"/>
      <c r="E131" s="16"/>
      <c r="F131" s="19"/>
      <c r="G131" s="15"/>
      <c r="J131" s="19"/>
      <c r="K131" s="19"/>
      <c r="L131" s="19"/>
      <c r="M131" s="21"/>
      <c r="N131" s="19"/>
      <c r="O131" s="19"/>
      <c r="P131" s="19"/>
      <c r="Q131" s="20"/>
      <c r="R131" s="20"/>
      <c r="S131" s="20"/>
      <c r="U131" s="20"/>
      <c r="V131" s="20"/>
    </row>
    <row r="132" spans="1:22" ht="12.75">
      <c r="A132" s="22" t="s">
        <v>262</v>
      </c>
      <c r="C132" s="19">
        <f>EXP(1/9*LN(C130/C121))-1</f>
        <v>0.0409861575526973</v>
      </c>
      <c r="D132" s="19">
        <f>EXP(1/9*LN(D130/D121))-1</f>
        <v>0.0015854519540006162</v>
      </c>
      <c r="E132" s="19">
        <f>EXP(1/9*LN(E130/E121))-1</f>
        <v>0.0409861575526973</v>
      </c>
      <c r="F132" s="19">
        <f>EXP(1/9*LN(F130/F121))-1</f>
        <v>0</v>
      </c>
      <c r="H132" s="25"/>
      <c r="J132" s="20"/>
      <c r="K132" s="19">
        <f>EXP(1/9*LN(K130/K121))-1</f>
        <v>0.026981128325407555</v>
      </c>
      <c r="L132" s="26"/>
      <c r="M132" s="19">
        <f>AVERAGE(M122:M130)</f>
        <v>0.0011089375163311952</v>
      </c>
      <c r="N132" s="19">
        <f>AVERAGE(N122:N130)</f>
        <v>0.012050547685429755</v>
      </c>
      <c r="O132" s="19">
        <f>AVERAGE(O122:O130)</f>
        <v>0</v>
      </c>
      <c r="P132" s="19"/>
      <c r="Q132" s="19"/>
      <c r="R132" s="19"/>
      <c r="S132" s="19"/>
      <c r="U132" s="20"/>
      <c r="V132" s="20"/>
    </row>
    <row r="133" spans="1:22" ht="12.75">
      <c r="A133" s="22" t="s">
        <v>274</v>
      </c>
      <c r="C133" s="19"/>
      <c r="D133" s="19">
        <f>D132*G121</f>
        <v>0.0011098163678004312</v>
      </c>
      <c r="E133" s="19">
        <f>E132*H121</f>
        <v>0.012295847265809191</v>
      </c>
      <c r="F133" s="19">
        <f>F132*G121</f>
        <v>0</v>
      </c>
      <c r="G133" s="19"/>
      <c r="H133" s="25"/>
      <c r="J133" s="20"/>
      <c r="K133" s="19">
        <f>K132</f>
        <v>0.026981128325407555</v>
      </c>
      <c r="L133" s="26"/>
      <c r="M133" s="19"/>
      <c r="N133" s="19"/>
      <c r="O133" s="19"/>
      <c r="P133" s="19"/>
      <c r="Q133" s="19"/>
      <c r="R133" s="19"/>
      <c r="S133" s="19"/>
      <c r="U133" s="20"/>
      <c r="V133" s="20"/>
    </row>
    <row r="134" spans="1:22" ht="12.75">
      <c r="A134" s="22" t="s">
        <v>266</v>
      </c>
      <c r="C134" s="19"/>
      <c r="D134" s="19"/>
      <c r="E134" s="19"/>
      <c r="F134" s="19"/>
      <c r="H134" s="25"/>
      <c r="J134" s="20"/>
      <c r="K134" s="19">
        <f>EXP(1/8*LN(K129/K121))-1</f>
        <v>0.02701390115989244</v>
      </c>
      <c r="L134" s="26"/>
      <c r="M134" s="19"/>
      <c r="N134" s="19"/>
      <c r="O134" s="19"/>
      <c r="P134" s="19"/>
      <c r="Q134" s="19"/>
      <c r="R134" s="19"/>
      <c r="S134" s="19"/>
      <c r="U134" s="20"/>
      <c r="V134" s="20"/>
    </row>
    <row r="135" spans="1:12" ht="15" customHeight="1">
      <c r="A135" s="22" t="s">
        <v>263</v>
      </c>
      <c r="H135" s="22"/>
      <c r="J135" s="19"/>
      <c r="K135" s="19">
        <f>EXP(1/8*LN(K130/K122))-1</f>
        <v>0.02547906339574979</v>
      </c>
      <c r="L135" s="19"/>
    </row>
    <row r="136" spans="3:19" ht="12.75">
      <c r="C136" s="14"/>
      <c r="D136" s="15"/>
      <c r="E136" s="16"/>
      <c r="F136" s="19"/>
      <c r="G136" s="15"/>
      <c r="J136" s="17"/>
      <c r="K136" s="17"/>
      <c r="L136" s="17"/>
      <c r="M136" s="18"/>
      <c r="Q136" s="20"/>
      <c r="R136" s="20"/>
      <c r="S136" s="20"/>
    </row>
    <row r="137" spans="1:17" ht="12.75">
      <c r="A137" s="22"/>
      <c r="J137" s="22"/>
      <c r="K137" s="22"/>
      <c r="L137" s="22"/>
      <c r="M137" s="22"/>
      <c r="Q137" s="22"/>
    </row>
    <row r="138" spans="21:22" ht="12.75">
      <c r="U138" s="20"/>
      <c r="V138" s="20"/>
    </row>
    <row r="139" spans="7:22" ht="12.75">
      <c r="G139" s="22"/>
      <c r="H139" s="22"/>
      <c r="I139" s="22"/>
      <c r="J139" s="22"/>
      <c r="K139" s="22"/>
      <c r="L139" s="22"/>
      <c r="M139" s="22"/>
      <c r="N139" s="22"/>
      <c r="O139" s="22"/>
      <c r="U139" s="20"/>
      <c r="V139" s="20"/>
    </row>
    <row r="140" spans="21:22" ht="12.75">
      <c r="U140" s="20"/>
      <c r="V140" s="20"/>
    </row>
    <row r="141" spans="3:22" ht="12.75">
      <c r="C141" s="14"/>
      <c r="D141" s="15"/>
      <c r="E141" s="16"/>
      <c r="F141" s="19"/>
      <c r="G141" s="15"/>
      <c r="H141" s="15"/>
      <c r="J141" s="17"/>
      <c r="K141" s="17"/>
      <c r="L141" s="17"/>
      <c r="M141" s="18"/>
      <c r="Q141" s="20"/>
      <c r="R141" s="20"/>
      <c r="S141" s="20"/>
      <c r="U141" s="20"/>
      <c r="V141" s="20"/>
    </row>
    <row r="142" spans="3:22" ht="12.75">
      <c r="C142" s="14"/>
      <c r="D142" s="15"/>
      <c r="E142" s="16"/>
      <c r="F142" s="19"/>
      <c r="G142" s="15"/>
      <c r="H142" s="15"/>
      <c r="J142" s="19"/>
      <c r="K142" s="19"/>
      <c r="L142" s="19"/>
      <c r="M142" s="19"/>
      <c r="N142" s="19"/>
      <c r="O142" s="19"/>
      <c r="Q142" s="20"/>
      <c r="R142" s="20"/>
      <c r="S142" s="20"/>
      <c r="U142" s="20"/>
      <c r="V142" s="20"/>
    </row>
    <row r="143" spans="3:22" ht="12.75">
      <c r="C143" s="14"/>
      <c r="D143" s="15"/>
      <c r="E143" s="16"/>
      <c r="F143" s="19"/>
      <c r="G143" s="15"/>
      <c r="H143" s="15"/>
      <c r="J143" s="19"/>
      <c r="K143" s="19"/>
      <c r="L143" s="19"/>
      <c r="M143" s="19"/>
      <c r="N143" s="19"/>
      <c r="O143" s="19"/>
      <c r="P143" s="19"/>
      <c r="Q143" s="20"/>
      <c r="R143" s="20"/>
      <c r="S143" s="20"/>
      <c r="U143" s="20"/>
      <c r="V143" s="20"/>
    </row>
    <row r="144" spans="3:22" ht="12.75">
      <c r="C144" s="14"/>
      <c r="D144" s="15"/>
      <c r="E144" s="16"/>
      <c r="F144" s="19"/>
      <c r="G144" s="15"/>
      <c r="H144" s="15"/>
      <c r="J144" s="19"/>
      <c r="K144" s="19"/>
      <c r="L144" s="19"/>
      <c r="M144" s="19"/>
      <c r="N144" s="19"/>
      <c r="O144" s="19"/>
      <c r="P144" s="19"/>
      <c r="Q144" s="20"/>
      <c r="R144" s="20"/>
      <c r="S144" s="20"/>
      <c r="U144" s="20"/>
      <c r="V144" s="20"/>
    </row>
    <row r="145" spans="3:22" ht="12.75">
      <c r="C145" s="14"/>
      <c r="D145" s="15"/>
      <c r="E145" s="16"/>
      <c r="F145" s="19"/>
      <c r="G145" s="15"/>
      <c r="H145" s="15"/>
      <c r="J145" s="19"/>
      <c r="K145" s="19"/>
      <c r="L145" s="19"/>
      <c r="M145" s="19"/>
      <c r="N145" s="19"/>
      <c r="O145" s="19"/>
      <c r="P145" s="19"/>
      <c r="Q145" s="20"/>
      <c r="R145" s="20"/>
      <c r="S145" s="20"/>
      <c r="U145" s="20"/>
      <c r="V145" s="20"/>
    </row>
    <row r="146" spans="3:22" ht="12.75">
      <c r="C146" s="14"/>
      <c r="D146" s="15"/>
      <c r="E146" s="16"/>
      <c r="F146" s="19"/>
      <c r="G146" s="15"/>
      <c r="H146" s="15"/>
      <c r="J146" s="19"/>
      <c r="K146" s="19"/>
      <c r="L146" s="19"/>
      <c r="M146" s="19"/>
      <c r="N146" s="19"/>
      <c r="O146" s="19"/>
      <c r="P146" s="19"/>
      <c r="Q146" s="20"/>
      <c r="R146" s="20"/>
      <c r="S146" s="20"/>
      <c r="U146" s="20"/>
      <c r="V146" s="20"/>
    </row>
    <row r="147" spans="3:22" ht="12.75">
      <c r="C147" s="14"/>
      <c r="D147" s="15"/>
      <c r="E147" s="16"/>
      <c r="F147" s="19"/>
      <c r="G147" s="15"/>
      <c r="H147" s="15"/>
      <c r="J147" s="19"/>
      <c r="K147" s="19"/>
      <c r="L147" s="19"/>
      <c r="M147" s="19"/>
      <c r="N147" s="19"/>
      <c r="O147" s="19"/>
      <c r="P147" s="19"/>
      <c r="Q147" s="20"/>
      <c r="R147" s="20"/>
      <c r="S147" s="20"/>
      <c r="U147" s="20"/>
      <c r="V147" s="20"/>
    </row>
    <row r="148" spans="3:22" ht="12.75">
      <c r="C148" s="14"/>
      <c r="D148" s="15"/>
      <c r="E148" s="16"/>
      <c r="F148" s="19"/>
      <c r="G148" s="15"/>
      <c r="H148" s="15"/>
      <c r="J148" s="19"/>
      <c r="K148" s="19"/>
      <c r="L148" s="19"/>
      <c r="M148" s="19"/>
      <c r="N148" s="19"/>
      <c r="O148" s="19"/>
      <c r="P148" s="19"/>
      <c r="Q148" s="20"/>
      <c r="R148" s="20"/>
      <c r="S148" s="20"/>
      <c r="U148" s="20"/>
      <c r="V148" s="20"/>
    </row>
    <row r="149" spans="3:22" ht="12.75">
      <c r="C149" s="14"/>
      <c r="D149" s="15"/>
      <c r="E149" s="16"/>
      <c r="F149" s="19"/>
      <c r="G149" s="15"/>
      <c r="H149" s="15"/>
      <c r="J149" s="19"/>
      <c r="K149" s="19"/>
      <c r="L149" s="19"/>
      <c r="M149" s="19"/>
      <c r="N149" s="19"/>
      <c r="O149" s="19"/>
      <c r="P149" s="19"/>
      <c r="Q149" s="20"/>
      <c r="R149" s="20"/>
      <c r="S149" s="20"/>
      <c r="U149" s="20"/>
      <c r="V149" s="20"/>
    </row>
    <row r="150" spans="3:22" ht="12.75">
      <c r="C150" s="14"/>
      <c r="D150" s="15"/>
      <c r="E150" s="16"/>
      <c r="F150" s="19"/>
      <c r="G150" s="15"/>
      <c r="H150" s="15"/>
      <c r="J150" s="19"/>
      <c r="K150" s="19"/>
      <c r="L150" s="19"/>
      <c r="M150" s="19"/>
      <c r="N150" s="19"/>
      <c r="O150" s="19"/>
      <c r="P150" s="19"/>
      <c r="Q150" s="20"/>
      <c r="R150" s="20"/>
      <c r="S150" s="20"/>
      <c r="U150" s="20"/>
      <c r="V150" s="20"/>
    </row>
    <row r="151" spans="3:22" ht="12.75">
      <c r="C151" s="14"/>
      <c r="D151" s="15"/>
      <c r="E151" s="16"/>
      <c r="F151" s="19"/>
      <c r="G151" s="15"/>
      <c r="J151" s="19"/>
      <c r="K151" s="19"/>
      <c r="L151" s="19"/>
      <c r="M151" s="21"/>
      <c r="N151" s="19"/>
      <c r="O151" s="19"/>
      <c r="P151" s="19"/>
      <c r="Q151" s="20"/>
      <c r="R151" s="20"/>
      <c r="S151" s="20"/>
      <c r="U151" s="20"/>
      <c r="V151" s="20"/>
    </row>
    <row r="152" spans="1:22" ht="12.75">
      <c r="A152" s="22"/>
      <c r="C152" s="19"/>
      <c r="D152" s="19"/>
      <c r="E152" s="19"/>
      <c r="F152" s="19"/>
      <c r="H152" s="25"/>
      <c r="J152" s="20"/>
      <c r="K152" s="19"/>
      <c r="L152" s="26"/>
      <c r="M152" s="19"/>
      <c r="N152" s="19"/>
      <c r="O152" s="19"/>
      <c r="P152" s="19"/>
      <c r="Q152" s="19"/>
      <c r="R152" s="19"/>
      <c r="S152" s="19"/>
      <c r="U152" s="20"/>
      <c r="V152" s="20"/>
    </row>
    <row r="153" spans="1:22" ht="12.75">
      <c r="A153" s="22"/>
      <c r="C153" s="19"/>
      <c r="D153" s="20"/>
      <c r="E153" s="20"/>
      <c r="F153" s="20"/>
      <c r="G153" s="20"/>
      <c r="H153" s="209"/>
      <c r="I153" s="20"/>
      <c r="J153" s="20"/>
      <c r="K153" s="20"/>
      <c r="L153" s="26"/>
      <c r="M153" s="19"/>
      <c r="N153" s="19"/>
      <c r="O153" s="19"/>
      <c r="P153" s="19"/>
      <c r="Q153" s="19"/>
      <c r="R153" s="19"/>
      <c r="S153" s="19"/>
      <c r="U153" s="20"/>
      <c r="V153" s="20"/>
    </row>
    <row r="154" spans="1:22" ht="12.75">
      <c r="A154" s="22"/>
      <c r="C154" s="19"/>
      <c r="D154" s="19"/>
      <c r="E154" s="19"/>
      <c r="F154" s="19"/>
      <c r="H154" s="25"/>
      <c r="J154" s="20"/>
      <c r="K154" s="19"/>
      <c r="L154" s="26"/>
      <c r="M154" s="19"/>
      <c r="N154" s="19"/>
      <c r="O154" s="19"/>
      <c r="P154" s="19"/>
      <c r="Q154" s="19"/>
      <c r="R154" s="19"/>
      <c r="S154" s="19"/>
      <c r="U154" s="20"/>
      <c r="V154" s="20"/>
    </row>
    <row r="155" spans="1:12" ht="15" customHeight="1">
      <c r="A155" s="22"/>
      <c r="H155" s="22"/>
      <c r="J155" s="19"/>
      <c r="K155" s="20"/>
      <c r="L155" s="19"/>
    </row>
  </sheetData>
  <printOptions/>
  <pageMargins left="0.75" right="0.75" top="1" bottom="1" header="0.5" footer="0.5"/>
  <pageSetup fitToHeight="1" fitToWidth="1" horizontalDpi="600" verticalDpi="600" orientation="portrait" paperSize="9" scale="48"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M27" sqref="M27"/>
    </sheetView>
  </sheetViews>
  <sheetFormatPr defaultColWidth="9.140625" defaultRowHeight="12.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31" sqref="L31"/>
    </sheetView>
  </sheetViews>
  <sheetFormatPr defaultColWidth="9.140625" defaultRowHeight="12.75"/>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CZ71"/>
  <sheetViews>
    <sheetView workbookViewId="0" topLeftCell="A1">
      <pane xSplit="4" ySplit="1" topLeftCell="E2" activePane="bottomRight" state="frozen"/>
      <selection pane="topLeft" activeCell="A1" sqref="A1"/>
      <selection pane="topRight" activeCell="E1" sqref="E1"/>
      <selection pane="bottomLeft" activeCell="A2" sqref="A2"/>
      <selection pane="bottomRight" activeCell="O26" sqref="O26"/>
    </sheetView>
  </sheetViews>
  <sheetFormatPr defaultColWidth="9.140625" defaultRowHeight="12.75"/>
  <cols>
    <col min="1" max="1" width="6.8515625" style="71" customWidth="1"/>
    <col min="2" max="2" width="12.00390625" style="71" customWidth="1"/>
    <col min="3" max="3" width="5.8515625" style="71" customWidth="1"/>
    <col min="4" max="4" width="6.7109375" style="114" customWidth="1"/>
    <col min="5" max="19" width="6.7109375" style="75" customWidth="1"/>
    <col min="20" max="16384" width="8.8515625" style="75" customWidth="1"/>
  </cols>
  <sheetData>
    <row r="1" spans="1:104" ht="12.75">
      <c r="A1" s="69" t="s">
        <v>277</v>
      </c>
      <c r="B1" s="70"/>
      <c r="D1" s="72" t="s">
        <v>302</v>
      </c>
      <c r="E1" s="69">
        <v>2001</v>
      </c>
      <c r="F1" s="69">
        <v>2002</v>
      </c>
      <c r="G1" s="69">
        <v>2003</v>
      </c>
      <c r="H1" s="69">
        <v>2004</v>
      </c>
      <c r="I1" s="69">
        <v>2005</v>
      </c>
      <c r="J1" s="69">
        <v>2006</v>
      </c>
      <c r="K1" s="69">
        <v>2007</v>
      </c>
      <c r="L1" s="69">
        <v>2008</v>
      </c>
      <c r="M1" s="69">
        <v>2009</v>
      </c>
      <c r="N1" s="69">
        <v>2010</v>
      </c>
      <c r="O1" s="69">
        <v>2011</v>
      </c>
      <c r="P1" s="69">
        <v>2012</v>
      </c>
      <c r="Q1" s="69">
        <v>2013</v>
      </c>
      <c r="R1" s="69">
        <v>2014</v>
      </c>
      <c r="S1" s="69">
        <v>2015</v>
      </c>
      <c r="T1" s="73">
        <v>2050</v>
      </c>
      <c r="U1" s="74"/>
      <c r="V1" s="75" t="s">
        <v>350</v>
      </c>
      <c r="W1" s="74" t="s">
        <v>349</v>
      </c>
      <c r="Y1" s="76"/>
      <c r="Z1" s="76"/>
      <c r="AA1" s="76"/>
      <c r="AB1" s="76"/>
      <c r="AC1" s="76"/>
      <c r="AD1" s="76"/>
      <c r="AE1" s="76"/>
      <c r="AF1" s="76"/>
      <c r="AG1" s="76"/>
      <c r="AH1" s="77"/>
      <c r="AI1" s="76"/>
      <c r="AJ1" s="76"/>
      <c r="AK1" s="76"/>
      <c r="AL1" s="76"/>
      <c r="AM1" s="76"/>
      <c r="AN1" s="76"/>
      <c r="AO1" s="76"/>
      <c r="AP1" s="76"/>
      <c r="AQ1" s="76"/>
      <c r="AR1" s="77"/>
      <c r="AS1" s="76"/>
      <c r="AT1" s="76"/>
      <c r="AU1" s="76"/>
      <c r="AV1" s="76"/>
      <c r="AW1" s="76"/>
      <c r="AX1" s="76"/>
      <c r="AY1" s="76"/>
      <c r="AZ1" s="76"/>
      <c r="BA1" s="76"/>
      <c r="BB1" s="77"/>
      <c r="BC1" s="76"/>
      <c r="BD1" s="76"/>
      <c r="BE1" s="76"/>
      <c r="BF1" s="76"/>
      <c r="BG1" s="76"/>
      <c r="BH1" s="76"/>
      <c r="BI1" s="76"/>
      <c r="BJ1" s="76"/>
      <c r="BK1" s="76"/>
      <c r="BL1" s="77"/>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row>
    <row r="2" spans="1:104" ht="12.75">
      <c r="A2" s="70" t="s">
        <v>278</v>
      </c>
      <c r="B2" s="70"/>
      <c r="C2" s="78"/>
      <c r="D2" s="79"/>
      <c r="E2" s="69"/>
      <c r="F2" s="69"/>
      <c r="G2" s="69"/>
      <c r="H2" s="69"/>
      <c r="I2" s="69"/>
      <c r="J2" s="69"/>
      <c r="K2" s="69"/>
      <c r="L2" s="69"/>
      <c r="M2" s="69"/>
      <c r="N2" s="69"/>
      <c r="O2" s="69"/>
      <c r="P2" s="69"/>
      <c r="Q2" s="69"/>
      <c r="R2" s="69"/>
      <c r="T2" s="80"/>
      <c r="U2" s="81"/>
      <c r="Y2" s="76"/>
      <c r="Z2" s="76"/>
      <c r="AA2" s="76"/>
      <c r="AB2" s="76"/>
      <c r="AC2" s="76"/>
      <c r="AD2" s="76"/>
      <c r="AE2" s="76"/>
      <c r="AF2" s="76"/>
      <c r="AG2" s="76"/>
      <c r="AH2" s="77"/>
      <c r="AI2" s="76"/>
      <c r="AJ2" s="76"/>
      <c r="AK2" s="76"/>
      <c r="AL2" s="76"/>
      <c r="AM2" s="76"/>
      <c r="AN2" s="76"/>
      <c r="AO2" s="76"/>
      <c r="AP2" s="76"/>
      <c r="AQ2" s="76"/>
      <c r="AR2" s="77"/>
      <c r="AS2" s="76"/>
      <c r="AT2" s="76"/>
      <c r="AU2" s="76"/>
      <c r="AV2" s="76"/>
      <c r="AW2" s="76"/>
      <c r="AX2" s="76"/>
      <c r="AY2" s="76"/>
      <c r="AZ2" s="76"/>
      <c r="BA2" s="76"/>
      <c r="BB2" s="77"/>
      <c r="BC2" s="76"/>
      <c r="BD2" s="76"/>
      <c r="BE2" s="76"/>
      <c r="BF2" s="76"/>
      <c r="BG2" s="76"/>
      <c r="BH2" s="76"/>
      <c r="BI2" s="76"/>
      <c r="BJ2" s="76"/>
      <c r="BK2" s="76"/>
      <c r="BL2" s="77"/>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row>
    <row r="3" spans="1:104" ht="12.75">
      <c r="A3" s="82" t="s">
        <v>279</v>
      </c>
      <c r="C3" s="78"/>
      <c r="D3" s="83">
        <v>71.07166666666667</v>
      </c>
      <c r="E3" s="84">
        <v>72.10866894267853</v>
      </c>
      <c r="F3" s="84">
        <v>72.30850574225671</v>
      </c>
      <c r="G3" s="84">
        <v>72.53646438813647</v>
      </c>
      <c r="H3" s="84">
        <v>72.74953326080237</v>
      </c>
      <c r="I3" s="84">
        <v>72.96124946230985</v>
      </c>
      <c r="J3" s="84">
        <v>73.17160662133966</v>
      </c>
      <c r="K3" s="84">
        <v>73.38059849074443</v>
      </c>
      <c r="L3" s="84">
        <v>73.58821895228296</v>
      </c>
      <c r="M3" s="84">
        <v>73.79446202163503</v>
      </c>
      <c r="N3" s="84">
        <v>73.99932185365333</v>
      </c>
      <c r="O3" s="84">
        <v>74.20279274781149</v>
      </c>
      <c r="P3" s="84">
        <v>74.40486915380737</v>
      </c>
      <c r="Q3" s="84">
        <v>74.60554567728296</v>
      </c>
      <c r="R3" s="84">
        <v>74.80481708562361</v>
      </c>
      <c r="S3" s="84">
        <v>75.00267831380025</v>
      </c>
      <c r="T3" s="85">
        <v>79.9976934712348</v>
      </c>
      <c r="U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row>
    <row r="4" spans="1:104" ht="12.75">
      <c r="A4" s="87" t="s">
        <v>280</v>
      </c>
      <c r="B4" s="78"/>
      <c r="C4" s="78"/>
      <c r="D4" s="83">
        <v>78.52666666666666</v>
      </c>
      <c r="E4" s="84">
        <v>79.45766921176413</v>
      </c>
      <c r="F4" s="84">
        <v>79.90085475508043</v>
      </c>
      <c r="G4" s="84">
        <v>80.08339442117966</v>
      </c>
      <c r="H4" s="84">
        <v>80.2499010817379</v>
      </c>
      <c r="I4" s="84">
        <v>80.41522764546207</v>
      </c>
      <c r="J4" s="84">
        <v>80.5793574091055</v>
      </c>
      <c r="K4" s="84">
        <v>80.74227414505988</v>
      </c>
      <c r="L4" s="84">
        <v>80.90396212127602</v>
      </c>
      <c r="M4" s="84">
        <v>81.06440611964689</v>
      </c>
      <c r="N4" s="84">
        <v>81.2235914528615</v>
      </c>
      <c r="O4" s="84">
        <v>81.38150397974114</v>
      </c>
      <c r="P4" s="84">
        <v>81.53813011907476</v>
      </c>
      <c r="Q4" s="84">
        <v>81.69345686197558</v>
      </c>
      <c r="R4" s="84">
        <v>81.84747178278381</v>
      </c>
      <c r="S4" s="84">
        <v>82.00016304854414</v>
      </c>
      <c r="T4" s="85">
        <v>84.99803990130147</v>
      </c>
      <c r="U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row>
    <row r="5" spans="1:104" ht="12.75">
      <c r="A5" s="82" t="s">
        <v>281</v>
      </c>
      <c r="B5" s="88"/>
      <c r="D5" s="89">
        <v>1.2533333333333334</v>
      </c>
      <c r="E5" s="90">
        <v>1.1938820121867912</v>
      </c>
      <c r="F5" s="90">
        <v>1.1980943337983205</v>
      </c>
      <c r="G5" s="90">
        <v>1.1980943337983205</v>
      </c>
      <c r="H5" s="90">
        <v>1.1980943337983205</v>
      </c>
      <c r="I5" s="90">
        <v>1.1980943337983205</v>
      </c>
      <c r="J5" s="90">
        <v>1.2178154566165358</v>
      </c>
      <c r="K5" s="90">
        <v>1.2378611971833202</v>
      </c>
      <c r="L5" s="90">
        <v>1.258236898839601</v>
      </c>
      <c r="M5" s="90">
        <v>1.278947992879883</v>
      </c>
      <c r="N5" s="90">
        <v>1.3</v>
      </c>
      <c r="O5" s="90">
        <v>1.313566862218144</v>
      </c>
      <c r="P5" s="90">
        <v>1.327275308859708</v>
      </c>
      <c r="Q5" s="90">
        <v>1.341126817506511</v>
      </c>
      <c r="R5" s="90">
        <v>1.3551228811604867</v>
      </c>
      <c r="S5" s="90">
        <v>1.3692650084046085</v>
      </c>
      <c r="T5" s="91">
        <v>1.969230769230762</v>
      </c>
      <c r="U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row>
    <row r="6" spans="1:104" ht="12.75">
      <c r="A6" s="82" t="s">
        <v>282</v>
      </c>
      <c r="B6" s="88"/>
      <c r="D6" s="93">
        <v>2384</v>
      </c>
      <c r="E6" s="94">
        <v>2992</v>
      </c>
      <c r="F6" s="94">
        <v>1865</v>
      </c>
      <c r="G6" s="94">
        <v>3918.9473662637174</v>
      </c>
      <c r="H6" s="94">
        <v>2500</v>
      </c>
      <c r="I6" s="94">
        <v>2500</v>
      </c>
      <c r="J6" s="94">
        <v>2500</v>
      </c>
      <c r="K6" s="94">
        <v>2500</v>
      </c>
      <c r="L6" s="94">
        <v>2500</v>
      </c>
      <c r="M6" s="94">
        <v>2500</v>
      </c>
      <c r="N6" s="94">
        <v>2500</v>
      </c>
      <c r="O6" s="94">
        <v>2500</v>
      </c>
      <c r="P6" s="94">
        <v>2500</v>
      </c>
      <c r="Q6" s="94">
        <v>2500</v>
      </c>
      <c r="R6" s="94">
        <v>2500</v>
      </c>
      <c r="S6" s="94">
        <v>2500</v>
      </c>
      <c r="T6" s="95">
        <v>2500</v>
      </c>
      <c r="U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row>
    <row r="7" spans="1:104" ht="12.75">
      <c r="A7" s="97" t="s">
        <v>283</v>
      </c>
      <c r="B7" s="97"/>
      <c r="C7" s="97"/>
      <c r="D7" s="98">
        <v>1987.3256666666668</v>
      </c>
      <c r="E7" s="99">
        <v>1992.035</v>
      </c>
      <c r="F7" s="99">
        <v>1995.718</v>
      </c>
      <c r="G7" s="99">
        <v>1996.773</v>
      </c>
      <c r="H7" s="99">
        <v>1996.365292504721</v>
      </c>
      <c r="I7" s="99">
        <v>1996.127487250376</v>
      </c>
      <c r="J7" s="99">
        <v>1995.8120744765924</v>
      </c>
      <c r="K7" s="99">
        <v>1995.5320033265552</v>
      </c>
      <c r="L7" s="99">
        <v>1995.245438722264</v>
      </c>
      <c r="M7" s="99">
        <v>1994.9196419140017</v>
      </c>
      <c r="N7" s="99">
        <v>1994.5158013889713</v>
      </c>
      <c r="O7" s="99">
        <v>1993.9214486887302</v>
      </c>
      <c r="P7" s="99">
        <v>1993.0432360070135</v>
      </c>
      <c r="Q7" s="99">
        <v>1991.8719067624704</v>
      </c>
      <c r="R7" s="99">
        <v>1990.4108186263466</v>
      </c>
      <c r="S7" s="99">
        <v>1988.6705308784283</v>
      </c>
      <c r="T7" s="100">
        <v>1776.7308919416955</v>
      </c>
      <c r="U7" s="101"/>
      <c r="V7" s="86">
        <f>Q7-F7</f>
        <v>-3.846093237529658</v>
      </c>
      <c r="W7" s="75">
        <f>EXP(1/11*LN(Q7/F7))-1</f>
        <v>-0.00017535117710265613</v>
      </c>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row>
    <row r="8" spans="1:104" ht="12.75">
      <c r="A8" s="97" t="s">
        <v>284</v>
      </c>
      <c r="B8" s="102"/>
      <c r="C8" s="70"/>
      <c r="D8" s="98">
        <v>339.6853333333333</v>
      </c>
      <c r="E8" s="99">
        <v>310.116</v>
      </c>
      <c r="F8" s="99">
        <v>302.82</v>
      </c>
      <c r="G8" s="99">
        <v>294.848</v>
      </c>
      <c r="H8" s="99">
        <v>289.0389770320567</v>
      </c>
      <c r="I8" s="99">
        <v>283.7309151223698</v>
      </c>
      <c r="J8" s="99">
        <v>279.2195067374356</v>
      </c>
      <c r="K8" s="99">
        <v>275.91790659341274</v>
      </c>
      <c r="L8" s="99">
        <v>273.55517720844097</v>
      </c>
      <c r="M8" s="99">
        <v>271.4916248948717</v>
      </c>
      <c r="N8" s="99">
        <v>269.9511548309161</v>
      </c>
      <c r="O8" s="99">
        <v>268.75020425917654</v>
      </c>
      <c r="P8" s="99">
        <v>267.85355114975886</v>
      </c>
      <c r="Q8" s="99">
        <v>267.37408253458466</v>
      </c>
      <c r="R8" s="99">
        <v>267.1885629923176</v>
      </c>
      <c r="S8" s="99">
        <v>266.77595089844954</v>
      </c>
      <c r="T8" s="100">
        <v>254.70395716817455</v>
      </c>
      <c r="U8" s="103"/>
      <c r="Y8" s="103"/>
      <c r="Z8" s="103"/>
      <c r="AA8" s="103"/>
      <c r="AB8" s="103"/>
      <c r="AC8" s="103"/>
      <c r="AD8" s="103"/>
      <c r="AE8" s="103"/>
      <c r="AF8" s="103"/>
      <c r="AG8" s="103"/>
      <c r="AH8" s="104"/>
      <c r="AI8" s="103"/>
      <c r="AJ8" s="103"/>
      <c r="AK8" s="103"/>
      <c r="AL8" s="103"/>
      <c r="AM8" s="103"/>
      <c r="AN8" s="103"/>
      <c r="AO8" s="103"/>
      <c r="AP8" s="103"/>
      <c r="AQ8" s="103"/>
      <c r="AR8" s="104"/>
      <c r="AS8" s="103"/>
      <c r="AT8" s="103"/>
      <c r="AU8" s="103"/>
      <c r="AV8" s="103"/>
      <c r="AW8" s="103"/>
      <c r="AX8" s="103"/>
      <c r="AY8" s="103"/>
      <c r="AZ8" s="103"/>
      <c r="BA8" s="103"/>
      <c r="BB8" s="104"/>
      <c r="BC8" s="103"/>
      <c r="BD8" s="103"/>
      <c r="BE8" s="103"/>
      <c r="BF8" s="103"/>
      <c r="BG8" s="103"/>
      <c r="BH8" s="103"/>
      <c r="BI8" s="103"/>
      <c r="BJ8" s="103"/>
      <c r="BK8" s="103"/>
      <c r="BL8" s="104"/>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row>
    <row r="9" spans="1:104" ht="12.75">
      <c r="A9" s="97" t="s">
        <v>285</v>
      </c>
      <c r="B9" s="102"/>
      <c r="C9" s="70"/>
      <c r="D9" s="98">
        <v>1385.6043333333334</v>
      </c>
      <c r="E9" s="99">
        <v>1397.039</v>
      </c>
      <c r="F9" s="99">
        <v>1400.864</v>
      </c>
      <c r="G9" s="99">
        <v>1404.782</v>
      </c>
      <c r="H9" s="99">
        <v>1405.4212998967676</v>
      </c>
      <c r="I9" s="99">
        <v>1405.2698916647364</v>
      </c>
      <c r="J9" s="99">
        <v>1404.3174522351085</v>
      </c>
      <c r="K9" s="99">
        <v>1401.938940771082</v>
      </c>
      <c r="L9" s="99">
        <v>1398.2875774741437</v>
      </c>
      <c r="M9" s="99">
        <v>1395.650437417169</v>
      </c>
      <c r="N9" s="99">
        <v>1395.553580082696</v>
      </c>
      <c r="O9" s="99">
        <v>1394.1686250429775</v>
      </c>
      <c r="P9" s="99">
        <v>1388.612946355963</v>
      </c>
      <c r="Q9" s="99">
        <v>1381.2601499519965</v>
      </c>
      <c r="R9" s="99">
        <v>1372.6523877885948</v>
      </c>
      <c r="S9" s="99">
        <v>1362.5009909358143</v>
      </c>
      <c r="T9" s="100">
        <v>975.1516839408299</v>
      </c>
      <c r="U9" s="103"/>
      <c r="Y9" s="103"/>
      <c r="Z9" s="103"/>
      <c r="AA9" s="103"/>
      <c r="AB9" s="103"/>
      <c r="AC9" s="103"/>
      <c r="AD9" s="103"/>
      <c r="AE9" s="103"/>
      <c r="AF9" s="103"/>
      <c r="AG9" s="103"/>
      <c r="AH9" s="104"/>
      <c r="AI9" s="103"/>
      <c r="AJ9" s="103"/>
      <c r="AK9" s="103"/>
      <c r="AL9" s="103"/>
      <c r="AM9" s="103"/>
      <c r="AN9" s="103"/>
      <c r="AO9" s="103"/>
      <c r="AP9" s="103"/>
      <c r="AQ9" s="103"/>
      <c r="AR9" s="104"/>
      <c r="AS9" s="103"/>
      <c r="AT9" s="103"/>
      <c r="AU9" s="103"/>
      <c r="AV9" s="103"/>
      <c r="AW9" s="103"/>
      <c r="AX9" s="103"/>
      <c r="AY9" s="103"/>
      <c r="AZ9" s="103"/>
      <c r="BA9" s="103"/>
      <c r="BB9" s="104"/>
      <c r="BC9" s="103"/>
      <c r="BD9" s="103"/>
      <c r="BE9" s="103"/>
      <c r="BF9" s="103"/>
      <c r="BG9" s="103"/>
      <c r="BH9" s="103"/>
      <c r="BI9" s="103"/>
      <c r="BJ9" s="103"/>
      <c r="BK9" s="103"/>
      <c r="BL9" s="104"/>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row>
    <row r="10" spans="1:104" ht="12.75">
      <c r="A10" s="82" t="s">
        <v>286</v>
      </c>
      <c r="C10" s="87"/>
      <c r="D10" s="83">
        <v>294.9096666666666</v>
      </c>
      <c r="E10" s="84">
        <v>285.674</v>
      </c>
      <c r="F10" s="84">
        <v>281.434</v>
      </c>
      <c r="G10" s="84">
        <v>277.899</v>
      </c>
      <c r="H10" s="84">
        <v>271.1876857817668</v>
      </c>
      <c r="I10" s="84">
        <v>263.91526023578865</v>
      </c>
      <c r="J10" s="84">
        <v>256.41098684018266</v>
      </c>
      <c r="K10" s="84">
        <v>248.83537688651256</v>
      </c>
      <c r="L10" s="84">
        <v>241.57071216861328</v>
      </c>
      <c r="M10" s="84">
        <v>235.0263369601576</v>
      </c>
      <c r="N10" s="84">
        <v>228.61778595728111</v>
      </c>
      <c r="O10" s="84">
        <v>222.55142988630976</v>
      </c>
      <c r="P10" s="84">
        <v>216.32300377570488</v>
      </c>
      <c r="Q10" s="84">
        <v>209.50386865960084</v>
      </c>
      <c r="R10" s="84">
        <v>203.4156575874333</v>
      </c>
      <c r="S10" s="84">
        <v>198.91524736649023</v>
      </c>
      <c r="T10" s="85">
        <v>174.28508198231788</v>
      </c>
      <c r="U10" s="103"/>
      <c r="Y10" s="103"/>
      <c r="Z10" s="103"/>
      <c r="AA10" s="103"/>
      <c r="AB10" s="103"/>
      <c r="AC10" s="103"/>
      <c r="AD10" s="103"/>
      <c r="AE10" s="103"/>
      <c r="AF10" s="103"/>
      <c r="AG10" s="103"/>
      <c r="AH10" s="104"/>
      <c r="AI10" s="103"/>
      <c r="AJ10" s="103"/>
      <c r="AK10" s="103"/>
      <c r="AL10" s="103"/>
      <c r="AM10" s="103"/>
      <c r="AN10" s="103"/>
      <c r="AO10" s="103"/>
      <c r="AP10" s="103"/>
      <c r="AQ10" s="103"/>
      <c r="AR10" s="104"/>
      <c r="AS10" s="103"/>
      <c r="AT10" s="103"/>
      <c r="AU10" s="103"/>
      <c r="AV10" s="103"/>
      <c r="AW10" s="103"/>
      <c r="AX10" s="103"/>
      <c r="AY10" s="103"/>
      <c r="AZ10" s="103"/>
      <c r="BA10" s="103"/>
      <c r="BB10" s="104"/>
      <c r="BC10" s="103"/>
      <c r="BD10" s="103"/>
      <c r="BE10" s="103"/>
      <c r="BF10" s="103"/>
      <c r="BG10" s="103"/>
      <c r="BH10" s="103"/>
      <c r="BI10" s="103"/>
      <c r="BJ10" s="103"/>
      <c r="BK10" s="103"/>
      <c r="BL10" s="104"/>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row>
    <row r="11" spans="1:104" ht="12.75">
      <c r="A11" s="82" t="s">
        <v>287</v>
      </c>
      <c r="C11" s="87"/>
      <c r="D11" s="83">
        <f>+D9-D10-D12</f>
        <v>875.7843333333335</v>
      </c>
      <c r="E11" s="84">
        <v>903.088</v>
      </c>
      <c r="F11" s="84">
        <v>908</v>
      </c>
      <c r="G11" s="84">
        <v>911.427</v>
      </c>
      <c r="H11" s="84">
        <v>914.2910495566402</v>
      </c>
      <c r="I11" s="84">
        <v>915.2772274782418</v>
      </c>
      <c r="J11" s="84">
        <v>914.731559501313</v>
      </c>
      <c r="K11" s="84">
        <v>912.7570219346795</v>
      </c>
      <c r="L11" s="84">
        <v>908.7211012101819</v>
      </c>
      <c r="M11" s="84">
        <v>903.7620376766442</v>
      </c>
      <c r="N11" s="84">
        <v>898.2729298573852</v>
      </c>
      <c r="O11" s="84">
        <v>891.8813519722627</v>
      </c>
      <c r="P11" s="84">
        <v>885.9366520068171</v>
      </c>
      <c r="Q11" s="84">
        <v>881.1832084034869</v>
      </c>
      <c r="R11" s="84">
        <v>875.7679149352141</v>
      </c>
      <c r="S11" s="84">
        <v>868.9191242571841</v>
      </c>
      <c r="T11" s="85">
        <v>570.061670096362</v>
      </c>
      <c r="U11" s="103"/>
      <c r="Y11" s="103"/>
      <c r="Z11" s="103"/>
      <c r="AA11" s="103"/>
      <c r="AB11" s="103"/>
      <c r="AC11" s="103"/>
      <c r="AD11" s="103"/>
      <c r="AE11" s="103"/>
      <c r="AF11" s="103"/>
      <c r="AG11" s="103"/>
      <c r="AH11" s="104"/>
      <c r="AI11" s="103"/>
      <c r="AJ11" s="103"/>
      <c r="AK11" s="103"/>
      <c r="AL11" s="103"/>
      <c r="AM11" s="103"/>
      <c r="AN11" s="103"/>
      <c r="AO11" s="103"/>
      <c r="AP11" s="103"/>
      <c r="AQ11" s="103"/>
      <c r="AR11" s="104"/>
      <c r="AS11" s="103"/>
      <c r="AT11" s="103"/>
      <c r="AU11" s="103"/>
      <c r="AV11" s="103"/>
      <c r="AW11" s="103"/>
      <c r="AX11" s="103"/>
      <c r="AY11" s="103"/>
      <c r="AZ11" s="103"/>
      <c r="BA11" s="103"/>
      <c r="BB11" s="104"/>
      <c r="BC11" s="103"/>
      <c r="BD11" s="103"/>
      <c r="BE11" s="103"/>
      <c r="BF11" s="103"/>
      <c r="BG11" s="103"/>
      <c r="BH11" s="103"/>
      <c r="BI11" s="103"/>
      <c r="BJ11" s="103"/>
      <c r="BK11" s="103"/>
      <c r="BL11" s="104"/>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row>
    <row r="12" spans="1:104" ht="12.75">
      <c r="A12" s="82" t="s">
        <v>288</v>
      </c>
      <c r="C12" s="87"/>
      <c r="D12" s="83">
        <v>214.91033333333328</v>
      </c>
      <c r="E12" s="84">
        <v>208.277</v>
      </c>
      <c r="F12" s="84">
        <v>211.43</v>
      </c>
      <c r="G12" s="84">
        <v>215.456</v>
      </c>
      <c r="H12" s="84">
        <v>219.94256455836063</v>
      </c>
      <c r="I12" s="84">
        <v>226.07740395070593</v>
      </c>
      <c r="J12" s="84">
        <v>233.1749058936132</v>
      </c>
      <c r="K12" s="84">
        <v>240.34654194989025</v>
      </c>
      <c r="L12" s="84">
        <v>247.9957640953488</v>
      </c>
      <c r="M12" s="84">
        <v>256.86206278036695</v>
      </c>
      <c r="N12" s="84">
        <v>268.66286426802924</v>
      </c>
      <c r="O12" s="84">
        <v>279.73584318440504</v>
      </c>
      <c r="P12" s="84">
        <v>286.3532905734411</v>
      </c>
      <c r="Q12" s="84">
        <v>290.5730728889089</v>
      </c>
      <c r="R12" s="84">
        <v>293.4688152659473</v>
      </c>
      <c r="S12" s="84">
        <v>294.66661931214</v>
      </c>
      <c r="T12" s="85">
        <v>230.8049318621502</v>
      </c>
      <c r="U12" s="103"/>
      <c r="Y12" s="103"/>
      <c r="Z12" s="103"/>
      <c r="AA12" s="103"/>
      <c r="AB12" s="103"/>
      <c r="AC12" s="103"/>
      <c r="AD12" s="103"/>
      <c r="AE12" s="103"/>
      <c r="AF12" s="103"/>
      <c r="AG12" s="103"/>
      <c r="AH12" s="104"/>
      <c r="AI12" s="103"/>
      <c r="AJ12" s="103"/>
      <c r="AK12" s="103"/>
      <c r="AL12" s="103"/>
      <c r="AM12" s="103"/>
      <c r="AN12" s="103"/>
      <c r="AO12" s="103"/>
      <c r="AP12" s="103"/>
      <c r="AQ12" s="103"/>
      <c r="AR12" s="104"/>
      <c r="AS12" s="103"/>
      <c r="AT12" s="103"/>
      <c r="AU12" s="103"/>
      <c r="AV12" s="103"/>
      <c r="AW12" s="103"/>
      <c r="AX12" s="103"/>
      <c r="AY12" s="103"/>
      <c r="AZ12" s="103"/>
      <c r="BA12" s="103"/>
      <c r="BB12" s="104"/>
      <c r="BC12" s="103"/>
      <c r="BD12" s="103"/>
      <c r="BE12" s="103"/>
      <c r="BF12" s="103"/>
      <c r="BG12" s="103"/>
      <c r="BH12" s="103"/>
      <c r="BI12" s="103"/>
      <c r="BJ12" s="103"/>
      <c r="BK12" s="103"/>
      <c r="BL12" s="104"/>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row>
    <row r="13" spans="1:104" ht="12.75">
      <c r="A13" s="97" t="s">
        <v>289</v>
      </c>
      <c r="B13" s="102"/>
      <c r="C13" s="105"/>
      <c r="D13" s="98">
        <v>262.0355</v>
      </c>
      <c r="E13" s="99">
        <v>284.917</v>
      </c>
      <c r="F13" s="99">
        <v>292.034</v>
      </c>
      <c r="G13" s="99">
        <v>297.143</v>
      </c>
      <c r="H13" s="99">
        <v>301.9050155758967</v>
      </c>
      <c r="I13" s="99">
        <v>307.12668046326996</v>
      </c>
      <c r="J13" s="99">
        <v>312.2751155040488</v>
      </c>
      <c r="K13" s="99">
        <v>317.67515596206067</v>
      </c>
      <c r="L13" s="99">
        <v>323.40268403967923</v>
      </c>
      <c r="M13" s="99">
        <v>327.7775796019615</v>
      </c>
      <c r="N13" s="99">
        <v>329.01106647535926</v>
      </c>
      <c r="O13" s="99">
        <v>331.002619386576</v>
      </c>
      <c r="P13" s="99">
        <v>336.57673850129163</v>
      </c>
      <c r="Q13" s="99">
        <v>343.2376742758888</v>
      </c>
      <c r="R13" s="99">
        <v>350.56986784543403</v>
      </c>
      <c r="S13" s="99">
        <v>359.39358904416434</v>
      </c>
      <c r="T13" s="100">
        <v>546.8752508326908</v>
      </c>
      <c r="U13" s="103"/>
      <c r="Y13" s="103"/>
      <c r="Z13" s="103"/>
      <c r="AA13" s="103"/>
      <c r="AB13" s="103"/>
      <c r="AC13" s="103"/>
      <c r="AD13" s="103"/>
      <c r="AE13" s="103"/>
      <c r="AF13" s="103"/>
      <c r="AG13" s="103"/>
      <c r="AH13" s="104"/>
      <c r="AI13" s="103"/>
      <c r="AJ13" s="103"/>
      <c r="AK13" s="103"/>
      <c r="AL13" s="103"/>
      <c r="AM13" s="103"/>
      <c r="AN13" s="103"/>
      <c r="AO13" s="103"/>
      <c r="AP13" s="103"/>
      <c r="AQ13" s="103"/>
      <c r="AR13" s="104"/>
      <c r="AS13" s="103"/>
      <c r="AT13" s="103"/>
      <c r="AU13" s="103"/>
      <c r="AV13" s="103"/>
      <c r="AW13" s="103"/>
      <c r="AX13" s="103"/>
      <c r="AY13" s="103"/>
      <c r="AZ13" s="103"/>
      <c r="BA13" s="103"/>
      <c r="BB13" s="104"/>
      <c r="BC13" s="103"/>
      <c r="BD13" s="103"/>
      <c r="BE13" s="103"/>
      <c r="BF13" s="103"/>
      <c r="BG13" s="103"/>
      <c r="BH13" s="103"/>
      <c r="BI13" s="103"/>
      <c r="BJ13" s="103"/>
      <c r="BK13" s="103"/>
      <c r="BL13" s="104"/>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row>
    <row r="14" spans="1:104" ht="12.75">
      <c r="A14" s="106" t="s">
        <v>290</v>
      </c>
      <c r="B14" s="107"/>
      <c r="C14" s="108"/>
      <c r="D14" s="109">
        <f aca="true" t="shared" si="0" ref="D14:T14">+D8/D$7*100</f>
        <v>17.092585228020834</v>
      </c>
      <c r="E14" s="110">
        <f t="shared" si="0"/>
        <v>15.567798758555949</v>
      </c>
      <c r="F14" s="110">
        <f t="shared" si="0"/>
        <v>15.173486434456171</v>
      </c>
      <c r="G14" s="110">
        <f t="shared" si="0"/>
        <v>14.76622530452886</v>
      </c>
      <c r="H14" s="110">
        <f t="shared" si="0"/>
        <v>14.478260973442222</v>
      </c>
      <c r="I14" s="110">
        <f t="shared" si="0"/>
        <v>14.214067835577138</v>
      </c>
      <c r="J14" s="110">
        <f t="shared" si="0"/>
        <v>13.99027044220392</v>
      </c>
      <c r="K14" s="110">
        <f t="shared" si="0"/>
        <v>13.826784342894882</v>
      </c>
      <c r="L14" s="110">
        <f t="shared" si="0"/>
        <v>13.710352215295533</v>
      </c>
      <c r="M14" s="110">
        <f t="shared" si="0"/>
        <v>13.60915092471556</v>
      </c>
      <c r="N14" s="110">
        <f t="shared" si="0"/>
        <v>13.534671153917326</v>
      </c>
      <c r="O14" s="110">
        <f t="shared" si="0"/>
        <v>13.478475013943788</v>
      </c>
      <c r="P14" s="110">
        <f t="shared" si="0"/>
        <v>13.439425011491135</v>
      </c>
      <c r="Q14" s="110">
        <f t="shared" si="0"/>
        <v>13.42325686841814</v>
      </c>
      <c r="R14" s="110">
        <f t="shared" si="0"/>
        <v>13.423789726822022</v>
      </c>
      <c r="S14" s="110">
        <f t="shared" si="0"/>
        <v>13.414788762450774</v>
      </c>
      <c r="T14" s="111">
        <f t="shared" si="0"/>
        <v>14.335539406860992</v>
      </c>
      <c r="U14" s="103"/>
      <c r="Y14" s="103"/>
      <c r="Z14" s="103"/>
      <c r="AA14" s="103"/>
      <c r="AB14" s="103"/>
      <c r="AC14" s="103"/>
      <c r="AD14" s="103"/>
      <c r="AE14" s="103"/>
      <c r="AF14" s="103"/>
      <c r="AG14" s="103"/>
      <c r="AH14" s="104"/>
      <c r="AI14" s="103"/>
      <c r="AJ14" s="103"/>
      <c r="AK14" s="103"/>
      <c r="AL14" s="103"/>
      <c r="AM14" s="103"/>
      <c r="AN14" s="103"/>
      <c r="AO14" s="103"/>
      <c r="AP14" s="103"/>
      <c r="AQ14" s="103"/>
      <c r="AR14" s="104"/>
      <c r="AS14" s="103"/>
      <c r="AT14" s="103"/>
      <c r="AU14" s="103"/>
      <c r="AV14" s="103"/>
      <c r="AW14" s="103"/>
      <c r="AX14" s="103"/>
      <c r="AY14" s="103"/>
      <c r="AZ14" s="103"/>
      <c r="BA14" s="103"/>
      <c r="BB14" s="104"/>
      <c r="BC14" s="103"/>
      <c r="BD14" s="103"/>
      <c r="BE14" s="103"/>
      <c r="BF14" s="103"/>
      <c r="BG14" s="103"/>
      <c r="BH14" s="103"/>
      <c r="BI14" s="103"/>
      <c r="BJ14" s="103"/>
      <c r="BK14" s="103"/>
      <c r="BL14" s="104"/>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row>
    <row r="15" spans="1:104" ht="12.75">
      <c r="A15" s="106" t="s">
        <v>291</v>
      </c>
      <c r="B15" s="112"/>
      <c r="D15" s="109">
        <f aca="true" t="shared" si="1" ref="D15:T15">+D9/D$7*100</f>
        <v>69.72205696197754</v>
      </c>
      <c r="E15" s="110">
        <f t="shared" si="1"/>
        <v>70.1312476939411</v>
      </c>
      <c r="F15" s="110">
        <f t="shared" si="1"/>
        <v>70.19348424977878</v>
      </c>
      <c r="G15" s="110">
        <f t="shared" si="1"/>
        <v>70.35261394259638</v>
      </c>
      <c r="H15" s="110">
        <f t="shared" si="1"/>
        <v>70.39900489020569</v>
      </c>
      <c r="I15" s="110">
        <f t="shared" si="1"/>
        <v>70.39980665766325</v>
      </c>
      <c r="J15" s="110">
        <f t="shared" si="1"/>
        <v>70.36321055445036</v>
      </c>
      <c r="K15" s="110">
        <f t="shared" si="1"/>
        <v>70.25389412116905</v>
      </c>
      <c r="L15" s="110">
        <f t="shared" si="1"/>
        <v>70.08098103306997</v>
      </c>
      <c r="M15" s="110">
        <f t="shared" si="1"/>
        <v>69.96023338955794</v>
      </c>
      <c r="N15" s="110">
        <f t="shared" si="1"/>
        <v>69.96954243786082</v>
      </c>
      <c r="O15" s="110">
        <f t="shared" si="1"/>
        <v>69.92094026371147</v>
      </c>
      <c r="P15" s="110">
        <f t="shared" si="1"/>
        <v>69.67299661486504</v>
      </c>
      <c r="Q15" s="110">
        <f t="shared" si="1"/>
        <v>69.34482811181648</v>
      </c>
      <c r="R15" s="110">
        <f t="shared" si="1"/>
        <v>68.96327004170482</v>
      </c>
      <c r="S15" s="110">
        <f t="shared" si="1"/>
        <v>68.51315840306515</v>
      </c>
      <c r="T15" s="111">
        <f t="shared" si="1"/>
        <v>54.88460229760164</v>
      </c>
      <c r="U15" s="103"/>
      <c r="Y15" s="103"/>
      <c r="Z15" s="103"/>
      <c r="AA15" s="103"/>
      <c r="AB15" s="103"/>
      <c r="AC15" s="103"/>
      <c r="AD15" s="103"/>
      <c r="AE15" s="103"/>
      <c r="AF15" s="103"/>
      <c r="AG15" s="103"/>
      <c r="AH15" s="104"/>
      <c r="AI15" s="103"/>
      <c r="AJ15" s="103"/>
      <c r="AK15" s="103"/>
      <c r="AL15" s="103"/>
      <c r="AM15" s="103"/>
      <c r="AN15" s="103"/>
      <c r="AO15" s="103"/>
      <c r="AP15" s="103"/>
      <c r="AQ15" s="103"/>
      <c r="AR15" s="104"/>
      <c r="AS15" s="103"/>
      <c r="AT15" s="103"/>
      <c r="AU15" s="103"/>
      <c r="AV15" s="103"/>
      <c r="AW15" s="103"/>
      <c r="AX15" s="103"/>
      <c r="AY15" s="103"/>
      <c r="AZ15" s="103"/>
      <c r="BA15" s="103"/>
      <c r="BB15" s="104"/>
      <c r="BC15" s="103"/>
      <c r="BD15" s="103"/>
      <c r="BE15" s="103"/>
      <c r="BF15" s="103"/>
      <c r="BG15" s="103"/>
      <c r="BH15" s="103"/>
      <c r="BI15" s="103"/>
      <c r="BJ15" s="103"/>
      <c r="BK15" s="103"/>
      <c r="BL15" s="104"/>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row>
    <row r="16" spans="1:104" ht="12.75">
      <c r="A16" s="106" t="s">
        <v>292</v>
      </c>
      <c r="B16" s="112"/>
      <c r="D16" s="109">
        <f aca="true" t="shared" si="2" ref="D16:T16">+D13/D$7*100</f>
        <v>13.185332650562053</v>
      </c>
      <c r="E16" s="110">
        <f t="shared" si="2"/>
        <v>14.302810944586817</v>
      </c>
      <c r="F16" s="110">
        <f t="shared" si="2"/>
        <v>14.633029315765054</v>
      </c>
      <c r="G16" s="110">
        <f t="shared" si="2"/>
        <v>14.881160752874761</v>
      </c>
      <c r="H16" s="110">
        <f t="shared" si="2"/>
        <v>15.12273413635209</v>
      </c>
      <c r="I16" s="110">
        <f t="shared" si="2"/>
        <v>15.38612550675962</v>
      </c>
      <c r="J16" s="110">
        <f t="shared" si="2"/>
        <v>15.646519003345738</v>
      </c>
      <c r="K16" s="110">
        <f t="shared" si="2"/>
        <v>15.919321535936062</v>
      </c>
      <c r="L16" s="110">
        <f t="shared" si="2"/>
        <v>16.208666751634485</v>
      </c>
      <c r="M16" s="110">
        <f t="shared" si="2"/>
        <v>16.430615685726533</v>
      </c>
      <c r="N16" s="110">
        <f t="shared" si="2"/>
        <v>16.49578640822186</v>
      </c>
      <c r="O16" s="110">
        <f t="shared" si="2"/>
        <v>16.600584722344728</v>
      </c>
      <c r="P16" s="110">
        <f t="shared" si="2"/>
        <v>16.887578373643834</v>
      </c>
      <c r="Q16" s="110">
        <f t="shared" si="2"/>
        <v>17.231915019765363</v>
      </c>
      <c r="R16" s="110">
        <f t="shared" si="2"/>
        <v>17.61294023147316</v>
      </c>
      <c r="S16" s="110">
        <f t="shared" si="2"/>
        <v>18.07205283448407</v>
      </c>
      <c r="T16" s="111">
        <f t="shared" si="2"/>
        <v>30.779858295537355</v>
      </c>
      <c r="U16" s="103"/>
      <c r="Y16" s="103"/>
      <c r="Z16" s="103"/>
      <c r="AA16" s="103"/>
      <c r="AB16" s="103"/>
      <c r="AC16" s="103"/>
      <c r="AD16" s="103"/>
      <c r="AE16" s="103"/>
      <c r="AF16" s="103"/>
      <c r="AG16" s="103"/>
      <c r="AH16" s="104"/>
      <c r="AI16" s="103"/>
      <c r="AJ16" s="103"/>
      <c r="AK16" s="103"/>
      <c r="AL16" s="103"/>
      <c r="AM16" s="103"/>
      <c r="AN16" s="103"/>
      <c r="AO16" s="103"/>
      <c r="AP16" s="103"/>
      <c r="AQ16" s="103"/>
      <c r="AR16" s="104"/>
      <c r="AS16" s="103"/>
      <c r="AT16" s="103"/>
      <c r="AU16" s="103"/>
      <c r="AV16" s="103"/>
      <c r="AW16" s="103"/>
      <c r="AX16" s="103"/>
      <c r="AY16" s="103"/>
      <c r="AZ16" s="103"/>
      <c r="BA16" s="103"/>
      <c r="BB16" s="104"/>
      <c r="BC16" s="103"/>
      <c r="BD16" s="103"/>
      <c r="BE16" s="103"/>
      <c r="BF16" s="103"/>
      <c r="BG16" s="103"/>
      <c r="BH16" s="103"/>
      <c r="BI16" s="103"/>
      <c r="BJ16" s="103"/>
      <c r="BK16" s="103"/>
      <c r="BL16" s="104"/>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row>
    <row r="17" spans="1:104" ht="12.75">
      <c r="A17" s="97" t="s">
        <v>293</v>
      </c>
      <c r="B17" s="112"/>
      <c r="D17" s="109"/>
      <c r="E17" s="110"/>
      <c r="F17" s="110"/>
      <c r="G17" s="110"/>
      <c r="H17" s="110"/>
      <c r="I17" s="110"/>
      <c r="J17" s="110"/>
      <c r="K17" s="110"/>
      <c r="L17" s="110"/>
      <c r="M17" s="110"/>
      <c r="N17" s="110"/>
      <c r="O17" s="110"/>
      <c r="P17" s="110"/>
      <c r="Q17" s="110"/>
      <c r="R17" s="110"/>
      <c r="S17" s="110"/>
      <c r="T17" s="111"/>
      <c r="U17" s="103"/>
      <c r="Y17" s="103"/>
      <c r="Z17" s="103"/>
      <c r="AA17" s="103"/>
      <c r="AB17" s="103"/>
      <c r="AC17" s="103"/>
      <c r="AD17" s="103"/>
      <c r="AE17" s="103"/>
      <c r="AF17" s="103"/>
      <c r="AG17" s="103"/>
      <c r="AH17" s="104"/>
      <c r="AI17" s="103"/>
      <c r="AJ17" s="103"/>
      <c r="AK17" s="103"/>
      <c r="AL17" s="103"/>
      <c r="AM17" s="103"/>
      <c r="AN17" s="103"/>
      <c r="AO17" s="103"/>
      <c r="AP17" s="103"/>
      <c r="AQ17" s="103"/>
      <c r="AR17" s="104"/>
      <c r="AS17" s="103"/>
      <c r="AT17" s="103"/>
      <c r="AU17" s="103"/>
      <c r="AV17" s="103"/>
      <c r="AW17" s="103"/>
      <c r="AX17" s="103"/>
      <c r="AY17" s="103"/>
      <c r="AZ17" s="103"/>
      <c r="BA17" s="103"/>
      <c r="BB17" s="104"/>
      <c r="BC17" s="103"/>
      <c r="BD17" s="103"/>
      <c r="BE17" s="103"/>
      <c r="BF17" s="103"/>
      <c r="BG17" s="103"/>
      <c r="BH17" s="103"/>
      <c r="BI17" s="103"/>
      <c r="BJ17" s="103"/>
      <c r="BK17" s="103"/>
      <c r="BL17" s="104"/>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row>
    <row r="18" spans="1:104" ht="12.75">
      <c r="A18" s="106" t="s">
        <v>210</v>
      </c>
      <c r="B18" s="112"/>
      <c r="D18" s="109">
        <f aca="true" t="shared" si="3" ref="D18:T18">+D7/$F7*100</f>
        <v>99.57948300645015</v>
      </c>
      <c r="E18" s="110">
        <f t="shared" si="3"/>
        <v>99.81545488891717</v>
      </c>
      <c r="F18" s="110">
        <f t="shared" si="3"/>
        <v>100</v>
      </c>
      <c r="G18" s="110">
        <f t="shared" si="3"/>
        <v>100.05286318006851</v>
      </c>
      <c r="H18" s="110">
        <f t="shared" si="3"/>
        <v>100.03243406657259</v>
      </c>
      <c r="I18" s="110">
        <f t="shared" si="3"/>
        <v>100.02051829218235</v>
      </c>
      <c r="J18" s="110">
        <f t="shared" si="3"/>
        <v>100.00471381610991</v>
      </c>
      <c r="K18" s="110">
        <f t="shared" si="3"/>
        <v>99.99068021266308</v>
      </c>
      <c r="L18" s="110">
        <f t="shared" si="3"/>
        <v>99.9763212398878</v>
      </c>
      <c r="M18" s="110">
        <f t="shared" si="3"/>
        <v>99.95999644809545</v>
      </c>
      <c r="N18" s="110">
        <f t="shared" si="3"/>
        <v>99.93976109795929</v>
      </c>
      <c r="O18" s="110">
        <f t="shared" si="3"/>
        <v>99.9099797009763</v>
      </c>
      <c r="P18" s="110">
        <f t="shared" si="3"/>
        <v>99.8659748525099</v>
      </c>
      <c r="Q18" s="110">
        <f t="shared" si="3"/>
        <v>99.80728273044942</v>
      </c>
      <c r="R18" s="110">
        <f t="shared" si="3"/>
        <v>99.73407157856704</v>
      </c>
      <c r="S18" s="110">
        <f t="shared" si="3"/>
        <v>99.64687049364831</v>
      </c>
      <c r="T18" s="111">
        <f t="shared" si="3"/>
        <v>89.02715172893643</v>
      </c>
      <c r="U18" s="103"/>
      <c r="Y18" s="103"/>
      <c r="Z18" s="103"/>
      <c r="AA18" s="103"/>
      <c r="AB18" s="103"/>
      <c r="AC18" s="103"/>
      <c r="AD18" s="103"/>
      <c r="AE18" s="103"/>
      <c r="AF18" s="103"/>
      <c r="AG18" s="103"/>
      <c r="AH18" s="104"/>
      <c r="AI18" s="103"/>
      <c r="AJ18" s="103"/>
      <c r="AK18" s="103"/>
      <c r="AL18" s="103"/>
      <c r="AM18" s="103"/>
      <c r="AN18" s="103"/>
      <c r="AO18" s="103"/>
      <c r="AP18" s="103"/>
      <c r="AQ18" s="103"/>
      <c r="AR18" s="104"/>
      <c r="AS18" s="103"/>
      <c r="AT18" s="103"/>
      <c r="AU18" s="103"/>
      <c r="AV18" s="103"/>
      <c r="AW18" s="103"/>
      <c r="AX18" s="103"/>
      <c r="AY18" s="103"/>
      <c r="AZ18" s="103"/>
      <c r="BA18" s="103"/>
      <c r="BB18" s="104"/>
      <c r="BC18" s="103"/>
      <c r="BD18" s="103"/>
      <c r="BE18" s="103"/>
      <c r="BF18" s="103"/>
      <c r="BG18" s="103"/>
      <c r="BH18" s="103"/>
      <c r="BI18" s="103"/>
      <c r="BJ18" s="103"/>
      <c r="BK18" s="103"/>
      <c r="BL18" s="104"/>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row>
    <row r="19" spans="1:104" ht="12.75">
      <c r="A19" s="106" t="s">
        <v>294</v>
      </c>
      <c r="B19" s="112"/>
      <c r="D19" s="109">
        <f aca="true" t="shared" si="4" ref="D19:T19">+D8/$F8*100</f>
        <v>112.17400876208087</v>
      </c>
      <c r="E19" s="110">
        <f t="shared" si="4"/>
        <v>102.4093520903507</v>
      </c>
      <c r="F19" s="110">
        <f t="shared" si="4"/>
        <v>100</v>
      </c>
      <c r="G19" s="110">
        <f t="shared" si="4"/>
        <v>97.36741298461132</v>
      </c>
      <c r="H19" s="110">
        <f t="shared" si="4"/>
        <v>95.4491040988233</v>
      </c>
      <c r="I19" s="110">
        <f t="shared" si="4"/>
        <v>93.69622717203944</v>
      </c>
      <c r="J19" s="110">
        <f t="shared" si="4"/>
        <v>92.20642848472215</v>
      </c>
      <c r="K19" s="110">
        <f t="shared" si="4"/>
        <v>91.11614377960926</v>
      </c>
      <c r="L19" s="110">
        <f t="shared" si="4"/>
        <v>90.3359015944921</v>
      </c>
      <c r="M19" s="110">
        <f t="shared" si="4"/>
        <v>89.65445640805486</v>
      </c>
      <c r="N19" s="110">
        <f t="shared" si="4"/>
        <v>89.1457482434833</v>
      </c>
      <c r="O19" s="110">
        <f t="shared" si="4"/>
        <v>88.7491593220978</v>
      </c>
      <c r="P19" s="110">
        <f t="shared" si="4"/>
        <v>88.45305830188192</v>
      </c>
      <c r="Q19" s="110">
        <f t="shared" si="4"/>
        <v>88.2947237747126</v>
      </c>
      <c r="R19" s="110">
        <f t="shared" si="4"/>
        <v>88.23345980857195</v>
      </c>
      <c r="S19" s="110">
        <f t="shared" si="4"/>
        <v>88.0972032555477</v>
      </c>
      <c r="T19" s="111">
        <f t="shared" si="4"/>
        <v>84.11067867649909</v>
      </c>
      <c r="U19" s="103"/>
      <c r="Y19" s="103"/>
      <c r="Z19" s="103"/>
      <c r="AA19" s="103"/>
      <c r="AB19" s="103"/>
      <c r="AC19" s="103"/>
      <c r="AD19" s="103"/>
      <c r="AE19" s="103"/>
      <c r="AF19" s="103"/>
      <c r="AG19" s="103"/>
      <c r="AH19" s="104"/>
      <c r="AI19" s="103"/>
      <c r="AJ19" s="103"/>
      <c r="AK19" s="103"/>
      <c r="AL19" s="103"/>
      <c r="AM19" s="103"/>
      <c r="AN19" s="103"/>
      <c r="AO19" s="103"/>
      <c r="AP19" s="103"/>
      <c r="AQ19" s="103"/>
      <c r="AR19" s="104"/>
      <c r="AS19" s="103"/>
      <c r="AT19" s="103"/>
      <c r="AU19" s="103"/>
      <c r="AV19" s="103"/>
      <c r="AW19" s="103"/>
      <c r="AX19" s="103"/>
      <c r="AY19" s="103"/>
      <c r="AZ19" s="103"/>
      <c r="BA19" s="103"/>
      <c r="BB19" s="104"/>
      <c r="BC19" s="103"/>
      <c r="BD19" s="103"/>
      <c r="BE19" s="103"/>
      <c r="BF19" s="103"/>
      <c r="BG19" s="103"/>
      <c r="BH19" s="103"/>
      <c r="BI19" s="103"/>
      <c r="BJ19" s="103"/>
      <c r="BK19" s="103"/>
      <c r="BL19" s="104"/>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row>
    <row r="20" spans="1:104" ht="12.75">
      <c r="A20" s="106" t="s">
        <v>295</v>
      </c>
      <c r="B20" s="112"/>
      <c r="D20" s="109">
        <f aca="true" t="shared" si="5" ref="D20:T20">+D9/$F9*100</f>
        <v>98.91069606566614</v>
      </c>
      <c r="E20" s="110">
        <f t="shared" si="5"/>
        <v>99.72695422253695</v>
      </c>
      <c r="F20" s="110">
        <f t="shared" si="5"/>
        <v>100</v>
      </c>
      <c r="G20" s="110">
        <f t="shared" si="5"/>
        <v>100.27968453754255</v>
      </c>
      <c r="H20" s="110">
        <f t="shared" si="5"/>
        <v>100.32532065188109</v>
      </c>
      <c r="I20" s="110">
        <f t="shared" si="5"/>
        <v>100.31451244837018</v>
      </c>
      <c r="J20" s="110">
        <f t="shared" si="5"/>
        <v>100.24652301972985</v>
      </c>
      <c r="K20" s="110">
        <f t="shared" si="5"/>
        <v>100.07673412772988</v>
      </c>
      <c r="L20" s="110">
        <f t="shared" si="5"/>
        <v>99.81608332244556</v>
      </c>
      <c r="M20" s="110">
        <f t="shared" si="5"/>
        <v>99.62783235325978</v>
      </c>
      <c r="N20" s="110">
        <f t="shared" si="5"/>
        <v>99.62091823922208</v>
      </c>
      <c r="O20" s="110">
        <f t="shared" si="5"/>
        <v>99.52205389266749</v>
      </c>
      <c r="P20" s="110">
        <f t="shared" si="5"/>
        <v>99.12546445307774</v>
      </c>
      <c r="Q20" s="110">
        <f t="shared" si="5"/>
        <v>98.60058863330033</v>
      </c>
      <c r="R20" s="110">
        <f t="shared" si="5"/>
        <v>97.98612768895444</v>
      </c>
      <c r="S20" s="110">
        <f t="shared" si="5"/>
        <v>97.2614751279078</v>
      </c>
      <c r="T20" s="111">
        <f t="shared" si="5"/>
        <v>69.61073194405951</v>
      </c>
      <c r="U20" s="103"/>
      <c r="Y20" s="103"/>
      <c r="Z20" s="103"/>
      <c r="AA20" s="103"/>
      <c r="AB20" s="103"/>
      <c r="AC20" s="103"/>
      <c r="AD20" s="103"/>
      <c r="AE20" s="103"/>
      <c r="AF20" s="103"/>
      <c r="AG20" s="103"/>
      <c r="AH20" s="104"/>
      <c r="AI20" s="103"/>
      <c r="AJ20" s="103"/>
      <c r="AK20" s="103"/>
      <c r="AL20" s="103"/>
      <c r="AM20" s="103"/>
      <c r="AN20" s="103"/>
      <c r="AO20" s="103"/>
      <c r="AP20" s="103"/>
      <c r="AQ20" s="103"/>
      <c r="AR20" s="104"/>
      <c r="AS20" s="103"/>
      <c r="AT20" s="103"/>
      <c r="AU20" s="103"/>
      <c r="AV20" s="103"/>
      <c r="AW20" s="103"/>
      <c r="AX20" s="103"/>
      <c r="AY20" s="103"/>
      <c r="AZ20" s="103"/>
      <c r="BA20" s="103"/>
      <c r="BB20" s="104"/>
      <c r="BC20" s="103"/>
      <c r="BD20" s="103"/>
      <c r="BE20" s="103"/>
      <c r="BF20" s="103"/>
      <c r="BG20" s="103"/>
      <c r="BH20" s="103"/>
      <c r="BI20" s="103"/>
      <c r="BJ20" s="103"/>
      <c r="BK20" s="103"/>
      <c r="BL20" s="104"/>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row>
    <row r="21" spans="1:104" ht="12.75">
      <c r="A21" s="106" t="s">
        <v>296</v>
      </c>
      <c r="B21" s="78"/>
      <c r="C21" s="113"/>
      <c r="D21" s="109">
        <f aca="true" t="shared" si="6" ref="D21:T21">+D13/$F13*100</f>
        <v>89.72773718128711</v>
      </c>
      <c r="E21" s="110">
        <f t="shared" si="6"/>
        <v>97.5629549983906</v>
      </c>
      <c r="F21" s="110">
        <f t="shared" si="6"/>
        <v>100</v>
      </c>
      <c r="G21" s="110">
        <f t="shared" si="6"/>
        <v>101.74945383071834</v>
      </c>
      <c r="H21" s="110">
        <f t="shared" si="6"/>
        <v>103.38009121400135</v>
      </c>
      <c r="I21" s="110">
        <f t="shared" si="6"/>
        <v>105.16812441813966</v>
      </c>
      <c r="J21" s="110">
        <f t="shared" si="6"/>
        <v>106.93108182747517</v>
      </c>
      <c r="K21" s="110">
        <f t="shared" si="6"/>
        <v>108.78019544370198</v>
      </c>
      <c r="L21" s="110">
        <f t="shared" si="6"/>
        <v>110.74144929688983</v>
      </c>
      <c r="M21" s="110">
        <f t="shared" si="6"/>
        <v>112.23952676810288</v>
      </c>
      <c r="N21" s="110">
        <f t="shared" si="6"/>
        <v>112.66190459856018</v>
      </c>
      <c r="O21" s="110">
        <f t="shared" si="6"/>
        <v>113.34386386056966</v>
      </c>
      <c r="P21" s="110">
        <f t="shared" si="6"/>
        <v>115.25258651434136</v>
      </c>
      <c r="Q21" s="110">
        <f t="shared" si="6"/>
        <v>117.53346332135601</v>
      </c>
      <c r="R21" s="110">
        <f t="shared" si="6"/>
        <v>120.0441961708</v>
      </c>
      <c r="S21" s="110">
        <f t="shared" si="6"/>
        <v>123.06566668407253</v>
      </c>
      <c r="T21" s="111">
        <f t="shared" si="6"/>
        <v>187.26424006543442</v>
      </c>
      <c r="U21" s="103"/>
      <c r="Y21" s="103"/>
      <c r="Z21" s="103"/>
      <c r="AA21" s="103"/>
      <c r="AB21" s="103"/>
      <c r="AC21" s="103"/>
      <c r="AD21" s="103"/>
      <c r="AE21" s="103"/>
      <c r="AF21" s="103"/>
      <c r="AG21" s="103"/>
      <c r="AH21" s="104"/>
      <c r="AI21" s="103"/>
      <c r="AJ21" s="103"/>
      <c r="AK21" s="103"/>
      <c r="AL21" s="103"/>
      <c r="AM21" s="103"/>
      <c r="AN21" s="103"/>
      <c r="AO21" s="103"/>
      <c r="AP21" s="103"/>
      <c r="AQ21" s="103"/>
      <c r="AR21" s="104"/>
      <c r="AS21" s="103"/>
      <c r="AT21" s="103"/>
      <c r="AU21" s="103"/>
      <c r="AV21" s="103"/>
      <c r="AW21" s="103"/>
      <c r="AX21" s="103"/>
      <c r="AY21" s="103"/>
      <c r="AZ21" s="103"/>
      <c r="BA21" s="103"/>
      <c r="BB21" s="104"/>
      <c r="BC21" s="103"/>
      <c r="BD21" s="103"/>
      <c r="BE21" s="103"/>
      <c r="BF21" s="103"/>
      <c r="BG21" s="103"/>
      <c r="BH21" s="103"/>
      <c r="BI21" s="103"/>
      <c r="BJ21" s="103"/>
      <c r="BK21" s="103"/>
      <c r="BL21" s="104"/>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row>
    <row r="22" spans="1:104" ht="12.75">
      <c r="A22" s="106"/>
      <c r="B22" s="78"/>
      <c r="C22" s="113"/>
      <c r="E22" s="84"/>
      <c r="F22" s="84"/>
      <c r="G22" s="84"/>
      <c r="H22" s="84"/>
      <c r="I22" s="84"/>
      <c r="J22" s="84"/>
      <c r="K22" s="84"/>
      <c r="L22" s="84"/>
      <c r="M22" s="84"/>
      <c r="N22" s="84"/>
      <c r="O22" s="84"/>
      <c r="P22" s="84"/>
      <c r="Q22" s="84"/>
      <c r="R22" s="84"/>
      <c r="S22" s="84"/>
      <c r="T22" s="103"/>
      <c r="U22" s="103"/>
      <c r="Y22" s="103"/>
      <c r="Z22" s="103"/>
      <c r="AA22" s="103"/>
      <c r="AB22" s="103"/>
      <c r="AC22" s="103"/>
      <c r="AD22" s="103"/>
      <c r="AE22" s="103"/>
      <c r="AF22" s="103"/>
      <c r="AG22" s="103"/>
      <c r="AH22" s="104"/>
      <c r="AI22" s="103"/>
      <c r="AJ22" s="103"/>
      <c r="AK22" s="103"/>
      <c r="AL22" s="103"/>
      <c r="AM22" s="103"/>
      <c r="AN22" s="103"/>
      <c r="AO22" s="103"/>
      <c r="AP22" s="103"/>
      <c r="AQ22" s="103"/>
      <c r="AR22" s="104"/>
      <c r="AS22" s="103"/>
      <c r="AT22" s="103"/>
      <c r="AU22" s="103"/>
      <c r="AV22" s="103"/>
      <c r="AW22" s="103"/>
      <c r="AX22" s="103"/>
      <c r="AY22" s="103"/>
      <c r="AZ22" s="103"/>
      <c r="BA22" s="103"/>
      <c r="BB22" s="104"/>
      <c r="BC22" s="103"/>
      <c r="BD22" s="103"/>
      <c r="BE22" s="103"/>
      <c r="BF22" s="103"/>
      <c r="BG22" s="103"/>
      <c r="BH22" s="103"/>
      <c r="BI22" s="103"/>
      <c r="BJ22" s="103"/>
      <c r="BK22" s="103"/>
      <c r="BL22" s="104"/>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row>
    <row r="23" spans="2:104" ht="12.75" customHeight="1">
      <c r="B23" s="78"/>
      <c r="C23" s="113"/>
      <c r="D23" s="83"/>
      <c r="E23" s="84"/>
      <c r="F23" s="84"/>
      <c r="G23" s="84"/>
      <c r="H23" s="84"/>
      <c r="I23" s="84"/>
      <c r="J23" s="84"/>
      <c r="K23" s="84"/>
      <c r="L23" s="84"/>
      <c r="M23" s="84"/>
      <c r="N23" s="84"/>
      <c r="O23" s="84"/>
      <c r="P23" s="84"/>
      <c r="Q23" s="84"/>
      <c r="R23" s="84"/>
      <c r="S23" s="84"/>
      <c r="T23" s="72" t="s">
        <v>303</v>
      </c>
      <c r="U23" s="103"/>
      <c r="V23" s="103"/>
      <c r="W23" s="103"/>
      <c r="X23" s="104"/>
      <c r="Y23" s="103"/>
      <c r="Z23" s="103"/>
      <c r="AA23" s="103"/>
      <c r="AB23" s="103"/>
      <c r="AC23" s="103"/>
      <c r="AD23" s="103"/>
      <c r="AE23" s="103"/>
      <c r="AF23" s="103"/>
      <c r="AG23" s="103"/>
      <c r="AH23" s="104"/>
      <c r="AI23" s="103"/>
      <c r="AJ23" s="103"/>
      <c r="AK23" s="103"/>
      <c r="AL23" s="103"/>
      <c r="AM23" s="103"/>
      <c r="AN23" s="103"/>
      <c r="AO23" s="103"/>
      <c r="AP23" s="103"/>
      <c r="AQ23" s="103"/>
      <c r="AR23" s="104"/>
      <c r="AS23" s="103"/>
      <c r="AT23" s="103"/>
      <c r="AU23" s="103"/>
      <c r="AV23" s="103"/>
      <c r="AW23" s="103"/>
      <c r="AX23" s="103"/>
      <c r="AY23" s="103"/>
      <c r="AZ23" s="103"/>
      <c r="BA23" s="103"/>
      <c r="BB23" s="104"/>
      <c r="BC23" s="103"/>
      <c r="BD23" s="103"/>
      <c r="BE23" s="103"/>
      <c r="BF23" s="103"/>
      <c r="BG23" s="103"/>
      <c r="BH23" s="103"/>
      <c r="BI23" s="103"/>
      <c r="BJ23" s="103"/>
      <c r="BK23" s="103"/>
      <c r="BL23" s="104"/>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row>
    <row r="24" ht="12.75">
      <c r="A24" s="71" t="s">
        <v>297</v>
      </c>
    </row>
    <row r="25" spans="1:102" ht="12.75">
      <c r="A25" s="69"/>
      <c r="B25" s="69"/>
      <c r="C25" s="75"/>
      <c r="D25" s="72" t="s">
        <v>302</v>
      </c>
      <c r="E25" s="69">
        <v>2002</v>
      </c>
      <c r="F25" s="69">
        <v>2005</v>
      </c>
      <c r="G25" s="69">
        <v>2010</v>
      </c>
      <c r="H25" s="69">
        <v>2013</v>
      </c>
      <c r="I25" s="69">
        <v>2015</v>
      </c>
      <c r="J25" s="73">
        <v>2050</v>
      </c>
      <c r="K25" s="69"/>
      <c r="L25" s="69"/>
      <c r="N25" s="69"/>
      <c r="O25" s="69"/>
      <c r="S25" s="69"/>
      <c r="T25" s="69"/>
      <c r="U25" s="69"/>
      <c r="V25" s="69"/>
      <c r="W25" s="69"/>
      <c r="X25" s="69"/>
      <c r="Y25" s="76"/>
      <c r="Z25" s="76"/>
      <c r="AA25" s="76"/>
      <c r="AB25" s="76"/>
      <c r="AC25" s="76"/>
      <c r="AD25" s="76"/>
      <c r="AE25" s="76"/>
      <c r="AF25" s="77"/>
      <c r="AG25" s="76"/>
      <c r="AH25" s="76"/>
      <c r="AI25" s="76"/>
      <c r="AJ25" s="76"/>
      <c r="AK25" s="76"/>
      <c r="AL25" s="76"/>
      <c r="AM25" s="76"/>
      <c r="AN25" s="76"/>
      <c r="AO25" s="76"/>
      <c r="AP25" s="77"/>
      <c r="AQ25" s="76"/>
      <c r="AR25" s="76"/>
      <c r="AS25" s="76"/>
      <c r="AT25" s="76"/>
      <c r="AU25" s="76"/>
      <c r="AV25" s="76"/>
      <c r="AW25" s="76"/>
      <c r="AX25" s="76"/>
      <c r="AY25" s="76"/>
      <c r="AZ25" s="77"/>
      <c r="BA25" s="76"/>
      <c r="BB25" s="76"/>
      <c r="BC25" s="76"/>
      <c r="BD25" s="76"/>
      <c r="BE25" s="76"/>
      <c r="BF25" s="76"/>
      <c r="BG25" s="76"/>
      <c r="BH25" s="76"/>
      <c r="BI25" s="76"/>
      <c r="BJ25" s="77"/>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row>
    <row r="26" spans="1:102" ht="12.75">
      <c r="A26" s="69" t="s">
        <v>278</v>
      </c>
      <c r="B26" s="69"/>
      <c r="C26" s="115"/>
      <c r="D26" s="79"/>
      <c r="E26" s="69"/>
      <c r="F26" s="69"/>
      <c r="G26" s="69"/>
      <c r="H26" s="69"/>
      <c r="I26" s="69"/>
      <c r="J26" s="80"/>
      <c r="K26" s="69"/>
      <c r="L26" s="69"/>
      <c r="N26" s="69"/>
      <c r="O26" s="69"/>
      <c r="S26" s="69"/>
      <c r="T26" s="69"/>
      <c r="U26" s="69"/>
      <c r="V26" s="69"/>
      <c r="W26" s="69"/>
      <c r="X26" s="69"/>
      <c r="Y26" s="76"/>
      <c r="Z26" s="76"/>
      <c r="AA26" s="76"/>
      <c r="AB26" s="76"/>
      <c r="AC26" s="76"/>
      <c r="AD26" s="76"/>
      <c r="AE26" s="76"/>
      <c r="AF26" s="77"/>
      <c r="AG26" s="76"/>
      <c r="AH26" s="76"/>
      <c r="AI26" s="76"/>
      <c r="AJ26" s="76"/>
      <c r="AK26" s="76"/>
      <c r="AL26" s="76"/>
      <c r="AM26" s="76"/>
      <c r="AN26" s="76"/>
      <c r="AO26" s="76"/>
      <c r="AP26" s="77"/>
      <c r="AQ26" s="76"/>
      <c r="AR26" s="76"/>
      <c r="AS26" s="76"/>
      <c r="AT26" s="76"/>
      <c r="AU26" s="76"/>
      <c r="AV26" s="76"/>
      <c r="AW26" s="76"/>
      <c r="AX26" s="76"/>
      <c r="AY26" s="76"/>
      <c r="AZ26" s="77"/>
      <c r="BA26" s="76"/>
      <c r="BB26" s="76"/>
      <c r="BC26" s="76"/>
      <c r="BD26" s="76"/>
      <c r="BE26" s="76"/>
      <c r="BF26" s="76"/>
      <c r="BG26" s="76"/>
      <c r="BH26" s="76"/>
      <c r="BI26" s="76"/>
      <c r="BJ26" s="77"/>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row>
    <row r="27" spans="1:102" ht="12.75">
      <c r="A27" s="82" t="s">
        <v>279</v>
      </c>
      <c r="B27" s="75"/>
      <c r="C27" s="115"/>
      <c r="D27" s="83">
        <f>+'[2]PREBIVALSTVO'!D3</f>
        <v>71.07166666666667</v>
      </c>
      <c r="E27" s="84">
        <f>+'[2]PREBIVALSTVO'!F3</f>
        <v>72.30850574225671</v>
      </c>
      <c r="F27" s="84">
        <f>+'[2]PREBIVALSTVO'!I3</f>
        <v>72.96124946230985</v>
      </c>
      <c r="G27" s="84">
        <f>+'[2]PREBIVALSTVO'!N3</f>
        <v>73.99932185365333</v>
      </c>
      <c r="H27" s="84">
        <f>+'[2]PREBIVALSTVO'!Q3</f>
        <v>74.60554567728296</v>
      </c>
      <c r="I27" s="84">
        <f>+'[2]PREBIVALSTVO'!S3</f>
        <v>75.00267831380025</v>
      </c>
      <c r="J27" s="85">
        <f>+'[2]PREBIVALSTVO'!T3</f>
        <v>79.9976934712348</v>
      </c>
      <c r="K27" s="84"/>
      <c r="L27" s="84"/>
      <c r="N27" s="84"/>
      <c r="O27" s="84"/>
      <c r="S27" s="84"/>
      <c r="T27" s="84"/>
      <c r="U27" s="84"/>
      <c r="V27" s="84"/>
      <c r="W27" s="84"/>
      <c r="X27" s="84"/>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row>
    <row r="28" spans="1:102" ht="12.75">
      <c r="A28" s="87"/>
      <c r="B28" s="78"/>
      <c r="C28" s="115"/>
      <c r="D28" s="83">
        <f>+'[2]PREBIVALSTVO'!D4</f>
        <v>78.52666666666666</v>
      </c>
      <c r="E28" s="84">
        <f>+'[2]PREBIVALSTVO'!F4</f>
        <v>79.90085475508043</v>
      </c>
      <c r="F28" s="84">
        <f>+'[2]PREBIVALSTVO'!I4</f>
        <v>80.41522764546207</v>
      </c>
      <c r="G28" s="84">
        <f>+'[2]PREBIVALSTVO'!N4</f>
        <v>81.2235914528615</v>
      </c>
      <c r="H28" s="84">
        <f>+'[2]PREBIVALSTVO'!Q4</f>
        <v>81.69345686197558</v>
      </c>
      <c r="I28" s="84">
        <f>+'[2]PREBIVALSTVO'!S4</f>
        <v>82.00016304854414</v>
      </c>
      <c r="J28" s="85">
        <f>+'[2]PREBIVALSTVO'!T4</f>
        <v>84.99803990130147</v>
      </c>
      <c r="K28" s="84"/>
      <c r="L28" s="84"/>
      <c r="N28" s="84"/>
      <c r="O28" s="84"/>
      <c r="S28" s="84"/>
      <c r="T28" s="84"/>
      <c r="U28" s="84"/>
      <c r="V28" s="84"/>
      <c r="W28" s="84"/>
      <c r="X28" s="84"/>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row>
    <row r="29" spans="1:102" ht="12.75">
      <c r="A29" s="82" t="s">
        <v>298</v>
      </c>
      <c r="B29" s="88"/>
      <c r="C29" s="75"/>
      <c r="D29" s="89">
        <f>+'[2]PREBIVALSTVO'!D5</f>
        <v>1.2533333333333334</v>
      </c>
      <c r="E29" s="90">
        <f>+'[2]PREBIVALSTVO'!F5</f>
        <v>1.1980943337983205</v>
      </c>
      <c r="F29" s="90">
        <f>+'[2]PREBIVALSTVO'!I5</f>
        <v>1.1980943337983205</v>
      </c>
      <c r="G29" s="90">
        <f>+'[2]PREBIVALSTVO'!N5</f>
        <v>1.3</v>
      </c>
      <c r="H29" s="90">
        <f>+'[2]PREBIVALSTVO'!Q5</f>
        <v>1.341126817506511</v>
      </c>
      <c r="I29" s="90">
        <f>+'[2]PREBIVALSTVO'!S5</f>
        <v>1.3692650084046085</v>
      </c>
      <c r="J29" s="91">
        <f>+'[2]PREBIVALSTVO'!T5</f>
        <v>1.969230769230762</v>
      </c>
      <c r="K29" s="90"/>
      <c r="L29" s="90"/>
      <c r="N29" s="90"/>
      <c r="O29" s="90"/>
      <c r="S29" s="90"/>
      <c r="T29" s="90"/>
      <c r="U29" s="90"/>
      <c r="V29" s="90"/>
      <c r="W29" s="90"/>
      <c r="X29" s="90"/>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row>
    <row r="30" spans="1:102" ht="12.75">
      <c r="A30" s="82" t="s">
        <v>299</v>
      </c>
      <c r="B30" s="88"/>
      <c r="C30" s="75"/>
      <c r="D30" s="93">
        <f>+'[2]PREBIVALSTVO'!D6</f>
        <v>2384</v>
      </c>
      <c r="E30" s="94">
        <f>+'[2]PREBIVALSTVO'!F6</f>
        <v>1865</v>
      </c>
      <c r="F30" s="94">
        <f>+'[2]PREBIVALSTVO'!I6</f>
        <v>2500</v>
      </c>
      <c r="G30" s="94">
        <f>+'[2]PREBIVALSTVO'!N6</f>
        <v>2500</v>
      </c>
      <c r="H30" s="94">
        <f>+'[2]PREBIVALSTVO'!Q6</f>
        <v>2500</v>
      </c>
      <c r="I30" s="94">
        <f>+'[2]PREBIVALSTVO'!S6</f>
        <v>2500</v>
      </c>
      <c r="J30" s="95">
        <f>+'[2]PREBIVALSTVO'!T6</f>
        <v>2500</v>
      </c>
      <c r="K30" s="94"/>
      <c r="L30" s="94"/>
      <c r="N30" s="94"/>
      <c r="O30" s="94"/>
      <c r="S30" s="94"/>
      <c r="T30" s="94"/>
      <c r="U30" s="94"/>
      <c r="V30" s="94"/>
      <c r="W30" s="94"/>
      <c r="X30" s="94"/>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row>
    <row r="31" spans="1:102" ht="12.75">
      <c r="A31" s="97" t="s">
        <v>283</v>
      </c>
      <c r="B31" s="97"/>
      <c r="C31" s="97"/>
      <c r="D31" s="98">
        <f>+'[2]PREBIVALSTVO'!D7</f>
        <v>1987.3256666666668</v>
      </c>
      <c r="E31" s="99">
        <f>+'[2]PREBIVALSTVO'!F7</f>
        <v>1995.718</v>
      </c>
      <c r="F31" s="99">
        <f>+'[2]PREBIVALSTVO'!I7</f>
        <v>1996.127487250376</v>
      </c>
      <c r="G31" s="99">
        <f>+'[2]PREBIVALSTVO'!N7</f>
        <v>1994.5158013889713</v>
      </c>
      <c r="H31" s="99">
        <f>+'[2]PREBIVALSTVO'!Q7</f>
        <v>1991.8719067624704</v>
      </c>
      <c r="I31" s="99">
        <f>+'[2]PREBIVALSTVO'!S7</f>
        <v>1988.6705308784283</v>
      </c>
      <c r="J31" s="100">
        <f>+'[2]PREBIVALSTVO'!T7</f>
        <v>1776.7308919416955</v>
      </c>
      <c r="K31" s="99"/>
      <c r="L31" s="99"/>
      <c r="N31" s="99"/>
      <c r="O31" s="99"/>
      <c r="S31" s="99"/>
      <c r="T31" s="99"/>
      <c r="U31" s="99"/>
      <c r="V31" s="99"/>
      <c r="W31" s="99"/>
      <c r="X31" s="99"/>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row>
    <row r="32" spans="1:102" ht="12.75">
      <c r="A32" s="106" t="s">
        <v>300</v>
      </c>
      <c r="B32" s="81"/>
      <c r="C32" s="105"/>
      <c r="D32" s="98"/>
      <c r="E32" s="99"/>
      <c r="F32" s="99"/>
      <c r="G32" s="99"/>
      <c r="H32" s="99"/>
      <c r="I32" s="99"/>
      <c r="J32" s="100"/>
      <c r="K32" s="99"/>
      <c r="L32" s="99"/>
      <c r="N32" s="99"/>
      <c r="O32" s="99"/>
      <c r="S32" s="99"/>
      <c r="T32" s="99"/>
      <c r="U32" s="99"/>
      <c r="V32" s="99"/>
      <c r="W32" s="99"/>
      <c r="X32" s="99"/>
      <c r="Y32" s="103"/>
      <c r="Z32" s="103"/>
      <c r="AA32" s="103"/>
      <c r="AB32" s="103"/>
      <c r="AC32" s="103"/>
      <c r="AD32" s="103"/>
      <c r="AE32" s="103"/>
      <c r="AF32" s="104"/>
      <c r="AG32" s="103"/>
      <c r="AH32" s="103"/>
      <c r="AI32" s="103"/>
      <c r="AJ32" s="103"/>
      <c r="AK32" s="103"/>
      <c r="AL32" s="103"/>
      <c r="AM32" s="103"/>
      <c r="AN32" s="103"/>
      <c r="AO32" s="103"/>
      <c r="AP32" s="104"/>
      <c r="AQ32" s="103"/>
      <c r="AR32" s="103"/>
      <c r="AS32" s="103"/>
      <c r="AT32" s="103"/>
      <c r="AU32" s="103"/>
      <c r="AV32" s="103"/>
      <c r="AW32" s="103"/>
      <c r="AX32" s="103"/>
      <c r="AY32" s="103"/>
      <c r="AZ32" s="104"/>
      <c r="BA32" s="103"/>
      <c r="BB32" s="103"/>
      <c r="BC32" s="103"/>
      <c r="BD32" s="103"/>
      <c r="BE32" s="103"/>
      <c r="BF32" s="103"/>
      <c r="BG32" s="103"/>
      <c r="BH32" s="103"/>
      <c r="BI32" s="103"/>
      <c r="BJ32" s="104"/>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row>
    <row r="33" spans="1:102" ht="12.75">
      <c r="A33" s="106" t="s">
        <v>301</v>
      </c>
      <c r="B33" s="81"/>
      <c r="C33" s="105"/>
      <c r="D33" s="109">
        <f>+'[2]PREBIVALSTVO'!L14</f>
        <v>13.710352215295533</v>
      </c>
      <c r="E33" s="110">
        <f>+'[2]PREBIVALSTVO'!F14</f>
        <v>15.173486434456171</v>
      </c>
      <c r="F33" s="110">
        <f>+'[2]PREBIVALSTVO'!I14</f>
        <v>14.214067835577138</v>
      </c>
      <c r="G33" s="110">
        <f>+'[2]PREBIVALSTVO'!N14</f>
        <v>13.534671153917326</v>
      </c>
      <c r="H33" s="110">
        <f>+'[2]PREBIVALSTVO'!Q14</f>
        <v>13.42325686841814</v>
      </c>
      <c r="I33" s="110">
        <f>+'[2]PREBIVALSTVO'!S14</f>
        <v>13.414788762450774</v>
      </c>
      <c r="J33" s="111">
        <f>+'[2]PREBIVALSTVO'!T14</f>
        <v>14.335539406860992</v>
      </c>
      <c r="K33" s="110"/>
      <c r="L33" s="110"/>
      <c r="N33" s="110"/>
      <c r="O33" s="110"/>
      <c r="S33" s="110"/>
      <c r="T33" s="110"/>
      <c r="U33" s="110"/>
      <c r="V33" s="110"/>
      <c r="W33" s="110"/>
      <c r="X33" s="110"/>
      <c r="Y33" s="103"/>
      <c r="Z33" s="103"/>
      <c r="AA33" s="103"/>
      <c r="AB33" s="103"/>
      <c r="AC33" s="103"/>
      <c r="AD33" s="103"/>
      <c r="AE33" s="103"/>
      <c r="AF33" s="104"/>
      <c r="AG33" s="103"/>
      <c r="AH33" s="103"/>
      <c r="AI33" s="103"/>
      <c r="AJ33" s="103"/>
      <c r="AK33" s="103"/>
      <c r="AL33" s="103"/>
      <c r="AM33" s="103"/>
      <c r="AN33" s="103"/>
      <c r="AO33" s="103"/>
      <c r="AP33" s="104"/>
      <c r="AQ33" s="103"/>
      <c r="AR33" s="103"/>
      <c r="AS33" s="103"/>
      <c r="AT33" s="103"/>
      <c r="AU33" s="103"/>
      <c r="AV33" s="103"/>
      <c r="AW33" s="103"/>
      <c r="AX33" s="103"/>
      <c r="AY33" s="103"/>
      <c r="AZ33" s="104"/>
      <c r="BA33" s="103"/>
      <c r="BB33" s="103"/>
      <c r="BC33" s="103"/>
      <c r="BD33" s="103"/>
      <c r="BE33" s="103"/>
      <c r="BF33" s="103"/>
      <c r="BG33" s="103"/>
      <c r="BH33" s="103"/>
      <c r="BI33" s="103"/>
      <c r="BJ33" s="104"/>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row>
    <row r="34" spans="1:102" ht="12.75">
      <c r="A34" s="106" t="s">
        <v>291</v>
      </c>
      <c r="B34" s="112"/>
      <c r="C34" s="75"/>
      <c r="D34" s="109">
        <f>+'[2]PREBIVALSTVO'!L15</f>
        <v>70.08098103306997</v>
      </c>
      <c r="E34" s="110">
        <f>+'[2]PREBIVALSTVO'!F15</f>
        <v>70.19348424977878</v>
      </c>
      <c r="F34" s="110">
        <f>+'[2]PREBIVALSTVO'!I15</f>
        <v>70.39980665766325</v>
      </c>
      <c r="G34" s="110">
        <f>+'[2]PREBIVALSTVO'!N15</f>
        <v>69.96954243786082</v>
      </c>
      <c r="H34" s="110">
        <f>+'[2]PREBIVALSTVO'!Q15</f>
        <v>69.34482811181648</v>
      </c>
      <c r="I34" s="110">
        <f>+'[2]PREBIVALSTVO'!S15</f>
        <v>68.51315840306515</v>
      </c>
      <c r="J34" s="111">
        <f>+'[2]PREBIVALSTVO'!T15</f>
        <v>54.88460229760164</v>
      </c>
      <c r="K34" s="110"/>
      <c r="L34" s="110"/>
      <c r="N34" s="110"/>
      <c r="O34" s="110"/>
      <c r="S34" s="110"/>
      <c r="T34" s="110"/>
      <c r="U34" s="110"/>
      <c r="V34" s="110"/>
      <c r="W34" s="110"/>
      <c r="X34" s="110"/>
      <c r="Y34" s="103"/>
      <c r="Z34" s="103"/>
      <c r="AA34" s="103"/>
      <c r="AB34" s="103"/>
      <c r="AC34" s="103"/>
      <c r="AD34" s="103"/>
      <c r="AE34" s="103"/>
      <c r="AF34" s="104"/>
      <c r="AG34" s="103"/>
      <c r="AH34" s="103"/>
      <c r="AI34" s="103"/>
      <c r="AJ34" s="103"/>
      <c r="AK34" s="103"/>
      <c r="AL34" s="103"/>
      <c r="AM34" s="103"/>
      <c r="AN34" s="103"/>
      <c r="AO34" s="103"/>
      <c r="AP34" s="104"/>
      <c r="AQ34" s="103"/>
      <c r="AR34" s="103"/>
      <c r="AS34" s="103"/>
      <c r="AT34" s="103"/>
      <c r="AU34" s="103"/>
      <c r="AV34" s="103"/>
      <c r="AW34" s="103"/>
      <c r="AX34" s="103"/>
      <c r="AY34" s="103"/>
      <c r="AZ34" s="104"/>
      <c r="BA34" s="103"/>
      <c r="BB34" s="103"/>
      <c r="BC34" s="103"/>
      <c r="BD34" s="103"/>
      <c r="BE34" s="103"/>
      <c r="BF34" s="103"/>
      <c r="BG34" s="103"/>
      <c r="BH34" s="103"/>
      <c r="BI34" s="103"/>
      <c r="BJ34" s="104"/>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row>
    <row r="35" spans="1:102" ht="12.75">
      <c r="A35" s="106" t="s">
        <v>292</v>
      </c>
      <c r="B35" s="112"/>
      <c r="C35" s="75"/>
      <c r="D35" s="109">
        <f>+'[2]PREBIVALSTVO'!L16</f>
        <v>16.208666751634485</v>
      </c>
      <c r="E35" s="110">
        <f>+'[2]PREBIVALSTVO'!F16</f>
        <v>14.633029315765054</v>
      </c>
      <c r="F35" s="110">
        <f>+'[2]PREBIVALSTVO'!I16</f>
        <v>15.38612550675962</v>
      </c>
      <c r="G35" s="110">
        <f>+'[2]PREBIVALSTVO'!N16</f>
        <v>16.49578640822186</v>
      </c>
      <c r="H35" s="110">
        <f>+'[2]PREBIVALSTVO'!Q16</f>
        <v>17.231915019765363</v>
      </c>
      <c r="I35" s="110">
        <f>+'[2]PREBIVALSTVO'!S16</f>
        <v>18.07205283448407</v>
      </c>
      <c r="J35" s="111">
        <f>+'[2]PREBIVALSTVO'!T16</f>
        <v>30.779858295537355</v>
      </c>
      <c r="K35" s="110"/>
      <c r="L35" s="110"/>
      <c r="N35" s="110"/>
      <c r="O35" s="110"/>
      <c r="S35" s="110"/>
      <c r="T35" s="110"/>
      <c r="U35" s="110"/>
      <c r="V35" s="110"/>
      <c r="W35" s="110"/>
      <c r="X35" s="110"/>
      <c r="Y35" s="103"/>
      <c r="Z35" s="103"/>
      <c r="AA35" s="103"/>
      <c r="AB35" s="103"/>
      <c r="AC35" s="103"/>
      <c r="AD35" s="103"/>
      <c r="AE35" s="103"/>
      <c r="AF35" s="104"/>
      <c r="AG35" s="103"/>
      <c r="AH35" s="103"/>
      <c r="AI35" s="103"/>
      <c r="AJ35" s="103"/>
      <c r="AK35" s="103"/>
      <c r="AL35" s="103"/>
      <c r="AM35" s="103"/>
      <c r="AN35" s="103"/>
      <c r="AO35" s="103"/>
      <c r="AP35" s="104"/>
      <c r="AQ35" s="103"/>
      <c r="AR35" s="103"/>
      <c r="AS35" s="103"/>
      <c r="AT35" s="103"/>
      <c r="AU35" s="103"/>
      <c r="AV35" s="103"/>
      <c r="AW35" s="103"/>
      <c r="AX35" s="103"/>
      <c r="AY35" s="103"/>
      <c r="AZ35" s="104"/>
      <c r="BA35" s="103"/>
      <c r="BB35" s="103"/>
      <c r="BC35" s="103"/>
      <c r="BD35" s="103"/>
      <c r="BE35" s="103"/>
      <c r="BF35" s="103"/>
      <c r="BG35" s="103"/>
      <c r="BH35" s="103"/>
      <c r="BI35" s="103"/>
      <c r="BJ35" s="104"/>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row>
    <row r="36" spans="1:13" ht="12.75">
      <c r="A36" s="97" t="s">
        <v>293</v>
      </c>
      <c r="D36" s="109"/>
      <c r="J36" s="111"/>
      <c r="M36" s="75"/>
    </row>
    <row r="37" spans="1:24" ht="12.75">
      <c r="A37" s="106" t="s">
        <v>210</v>
      </c>
      <c r="D37" s="109">
        <f>+'[2]PREBIVALSTVO'!L18</f>
        <v>99.9763212398878</v>
      </c>
      <c r="E37" s="110">
        <f>+'[2]PREBIVALSTVO'!F18</f>
        <v>100</v>
      </c>
      <c r="F37" s="110">
        <f>+'[2]PREBIVALSTVO'!I18</f>
        <v>100.02051829218235</v>
      </c>
      <c r="G37" s="110">
        <f>+'[2]PREBIVALSTVO'!N18</f>
        <v>99.93976109795929</v>
      </c>
      <c r="H37" s="110">
        <f>+'[2]PREBIVALSTVO'!Q18</f>
        <v>99.80728273044942</v>
      </c>
      <c r="I37" s="110">
        <f>+'[2]PREBIVALSTVO'!S18</f>
        <v>99.64687049364831</v>
      </c>
      <c r="J37" s="111">
        <f>+'[2]PREBIVALSTVO'!T18</f>
        <v>89.02715172893643</v>
      </c>
      <c r="K37" s="110"/>
      <c r="L37" s="110"/>
      <c r="N37" s="110"/>
      <c r="O37" s="110"/>
      <c r="S37" s="110"/>
      <c r="T37" s="110"/>
      <c r="U37" s="110"/>
      <c r="V37" s="110"/>
      <c r="W37" s="110"/>
      <c r="X37" s="110"/>
    </row>
    <row r="38" spans="1:24" ht="12.75">
      <c r="A38" s="106" t="s">
        <v>294</v>
      </c>
      <c r="D38" s="109">
        <f>+'[2]PREBIVALSTVO'!L19</f>
        <v>90.3359015944921</v>
      </c>
      <c r="E38" s="110">
        <f>+'[2]PREBIVALSTVO'!F19</f>
        <v>100</v>
      </c>
      <c r="F38" s="110">
        <f>+'[2]PREBIVALSTVO'!I19</f>
        <v>93.69622717203944</v>
      </c>
      <c r="G38" s="110">
        <f>+'[2]PREBIVALSTVO'!N19</f>
        <v>89.1457482434833</v>
      </c>
      <c r="H38" s="110">
        <f>+'[2]PREBIVALSTVO'!Q19</f>
        <v>88.2947237747126</v>
      </c>
      <c r="I38" s="110">
        <f>+'[2]PREBIVALSTVO'!S19</f>
        <v>88.0972032555477</v>
      </c>
      <c r="J38" s="111">
        <f>+'[2]PREBIVALSTVO'!T19</f>
        <v>84.11067867649909</v>
      </c>
      <c r="K38" s="110"/>
      <c r="L38" s="110"/>
      <c r="N38" s="110"/>
      <c r="O38" s="110"/>
      <c r="S38" s="110"/>
      <c r="T38" s="110"/>
      <c r="U38" s="110"/>
      <c r="V38" s="110"/>
      <c r="W38" s="110"/>
      <c r="X38" s="110"/>
    </row>
    <row r="39" spans="1:24" ht="12.75">
      <c r="A39" s="106" t="s">
        <v>295</v>
      </c>
      <c r="D39" s="109">
        <f>+'[2]PREBIVALSTVO'!L20</f>
        <v>99.81608332244556</v>
      </c>
      <c r="E39" s="110">
        <f>+'[2]PREBIVALSTVO'!F20</f>
        <v>100</v>
      </c>
      <c r="F39" s="110">
        <f>+'[2]PREBIVALSTVO'!I20</f>
        <v>100.31451244837018</v>
      </c>
      <c r="G39" s="110">
        <f>+'[2]PREBIVALSTVO'!N20</f>
        <v>99.62091823922208</v>
      </c>
      <c r="H39" s="110">
        <f>+'[2]PREBIVALSTVO'!Q20</f>
        <v>98.60058863330033</v>
      </c>
      <c r="I39" s="110">
        <f>+'[2]PREBIVALSTVO'!S20</f>
        <v>97.2614751279078</v>
      </c>
      <c r="J39" s="111">
        <f>+'[2]PREBIVALSTVO'!T20</f>
        <v>69.61073194405951</v>
      </c>
      <c r="K39" s="110"/>
      <c r="L39" s="110"/>
      <c r="N39" s="110"/>
      <c r="O39" s="110"/>
      <c r="S39" s="110"/>
      <c r="T39" s="110"/>
      <c r="U39" s="110"/>
      <c r="V39" s="110"/>
      <c r="W39" s="110"/>
      <c r="X39" s="110"/>
    </row>
    <row r="40" spans="1:24" ht="12.75">
      <c r="A40" s="106" t="s">
        <v>296</v>
      </c>
      <c r="D40" s="109">
        <f>+'[2]PREBIVALSTVO'!L21</f>
        <v>110.74144929688983</v>
      </c>
      <c r="E40" s="110">
        <f>+'[2]PREBIVALSTVO'!F21</f>
        <v>100</v>
      </c>
      <c r="F40" s="110">
        <f>+'[2]PREBIVALSTVO'!I21</f>
        <v>105.16812441813966</v>
      </c>
      <c r="G40" s="110">
        <f>+'[2]PREBIVALSTVO'!N21</f>
        <v>112.66190459856018</v>
      </c>
      <c r="H40" s="110">
        <f>+'[2]PREBIVALSTVO'!Q21</f>
        <v>117.53346332135601</v>
      </c>
      <c r="I40" s="110">
        <f>+'[2]PREBIVALSTVO'!S21</f>
        <v>123.06566668407253</v>
      </c>
      <c r="J40" s="111">
        <f>+'[2]PREBIVALSTVO'!T21</f>
        <v>187.26424006543442</v>
      </c>
      <c r="K40" s="110"/>
      <c r="L40" s="110"/>
      <c r="N40" s="110"/>
      <c r="O40" s="110"/>
      <c r="S40" s="110"/>
      <c r="T40" s="110"/>
      <c r="U40" s="110"/>
      <c r="V40" s="110"/>
      <c r="W40" s="110"/>
      <c r="X40" s="110"/>
    </row>
    <row r="69" spans="5:19" ht="12.75">
      <c r="E69" s="110"/>
      <c r="F69" s="110"/>
      <c r="G69" s="110"/>
      <c r="H69" s="116"/>
      <c r="I69" s="116"/>
      <c r="J69" s="116"/>
      <c r="K69" s="116"/>
      <c r="L69" s="116"/>
      <c r="M69" s="116"/>
      <c r="N69" s="116"/>
      <c r="O69" s="116"/>
      <c r="P69" s="116"/>
      <c r="Q69" s="116"/>
      <c r="R69" s="116"/>
      <c r="S69" s="116"/>
    </row>
    <row r="70" spans="1:19" ht="12.75">
      <c r="A70" s="117"/>
      <c r="D70" s="109"/>
      <c r="E70" s="110"/>
      <c r="F70" s="110"/>
      <c r="G70" s="110"/>
      <c r="H70" s="116"/>
      <c r="I70" s="116"/>
      <c r="J70" s="116"/>
      <c r="K70" s="116"/>
      <c r="L70" s="116"/>
      <c r="M70" s="116"/>
      <c r="N70" s="116"/>
      <c r="O70" s="116"/>
      <c r="P70" s="116"/>
      <c r="Q70" s="116"/>
      <c r="R70" s="116"/>
      <c r="S70" s="116"/>
    </row>
    <row r="71" spans="1:19" ht="12.75">
      <c r="A71" s="117"/>
      <c r="D71" s="109"/>
      <c r="E71" s="110"/>
      <c r="F71" s="110"/>
      <c r="G71" s="110"/>
      <c r="H71" s="116"/>
      <c r="I71" s="116"/>
      <c r="J71" s="116"/>
      <c r="K71" s="116"/>
      <c r="L71" s="116"/>
      <c r="M71" s="116"/>
      <c r="N71" s="116"/>
      <c r="O71" s="116"/>
      <c r="P71" s="116"/>
      <c r="Q71" s="116"/>
      <c r="R71" s="116"/>
      <c r="S71" s="116"/>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Y114"/>
  <sheetViews>
    <sheetView workbookViewId="0" topLeftCell="A1">
      <pane xSplit="4" ySplit="1" topLeftCell="E2" activePane="bottomRight" state="frozen"/>
      <selection pane="topLeft" activeCell="A1" sqref="A1"/>
      <selection pane="topRight" activeCell="E1" sqref="E1"/>
      <selection pane="bottomLeft" activeCell="A2" sqref="A2"/>
      <selection pane="bottomRight" activeCell="X10" sqref="X10"/>
    </sheetView>
  </sheetViews>
  <sheetFormatPr defaultColWidth="9.140625" defaultRowHeight="12.75"/>
  <cols>
    <col min="1" max="1" width="6.00390625" style="0" customWidth="1"/>
    <col min="4" max="4" width="7.28125" style="0" customWidth="1"/>
    <col min="5" max="22" width="5.7109375" style="0" customWidth="1"/>
    <col min="23" max="23" width="11.140625" style="27" customWidth="1"/>
  </cols>
  <sheetData>
    <row r="1" spans="2:103" s="75" customFormat="1" ht="12.75">
      <c r="B1" s="97" t="s">
        <v>304</v>
      </c>
      <c r="C1" s="70"/>
      <c r="D1" s="71"/>
      <c r="E1" s="72" t="s">
        <v>302</v>
      </c>
      <c r="F1" s="69">
        <v>2001</v>
      </c>
      <c r="G1" s="69">
        <v>2002</v>
      </c>
      <c r="H1" s="69">
        <v>2003</v>
      </c>
      <c r="I1" s="69">
        <v>2004</v>
      </c>
      <c r="J1" s="69">
        <v>2005</v>
      </c>
      <c r="K1" s="69">
        <v>2006</v>
      </c>
      <c r="L1" s="69">
        <v>2007</v>
      </c>
      <c r="M1" s="69">
        <v>2008</v>
      </c>
      <c r="N1" s="69">
        <v>2009</v>
      </c>
      <c r="O1" s="69">
        <v>2010</v>
      </c>
      <c r="P1" s="69">
        <v>2011</v>
      </c>
      <c r="Q1" s="69">
        <v>2012</v>
      </c>
      <c r="R1" s="69">
        <v>2013</v>
      </c>
      <c r="S1" s="69">
        <v>2014</v>
      </c>
      <c r="T1" s="69">
        <v>2015</v>
      </c>
      <c r="V1" s="75" t="s">
        <v>350</v>
      </c>
      <c r="W1" s="145" t="s">
        <v>349</v>
      </c>
      <c r="X1" s="76"/>
      <c r="Y1" s="76"/>
      <c r="Z1" s="76"/>
      <c r="AA1" s="76"/>
      <c r="AB1" s="76"/>
      <c r="AC1" s="76"/>
      <c r="AD1" s="76"/>
      <c r="AE1" s="76"/>
      <c r="AF1" s="76"/>
      <c r="AG1" s="77"/>
      <c r="AH1" s="76"/>
      <c r="AI1" s="76"/>
      <c r="AJ1" s="76"/>
      <c r="AK1" s="76"/>
      <c r="AL1" s="76"/>
      <c r="AM1" s="76"/>
      <c r="AN1" s="76"/>
      <c r="AO1" s="76"/>
      <c r="AP1" s="76"/>
      <c r="AQ1" s="77"/>
      <c r="AR1" s="76"/>
      <c r="AS1" s="76"/>
      <c r="AT1" s="76"/>
      <c r="AU1" s="76"/>
      <c r="AV1" s="76"/>
      <c r="AW1" s="76"/>
      <c r="AX1" s="76"/>
      <c r="AY1" s="76"/>
      <c r="AZ1" s="76"/>
      <c r="BA1" s="77"/>
      <c r="BB1" s="76"/>
      <c r="BC1" s="76"/>
      <c r="BD1" s="76"/>
      <c r="BE1" s="76"/>
      <c r="BF1" s="76"/>
      <c r="BG1" s="76"/>
      <c r="BH1" s="76"/>
      <c r="BI1" s="76"/>
      <c r="BJ1" s="76"/>
      <c r="BK1" s="77"/>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row>
    <row r="2" spans="1:103" s="75" customFormat="1" ht="12.75">
      <c r="A2" s="97" t="s">
        <v>305</v>
      </c>
      <c r="B2" s="97" t="s">
        <v>305</v>
      </c>
      <c r="C2" s="78"/>
      <c r="D2" s="113"/>
      <c r="E2" s="83"/>
      <c r="F2" s="84"/>
      <c r="G2" s="84"/>
      <c r="H2" s="84"/>
      <c r="I2" s="84"/>
      <c r="J2" s="84"/>
      <c r="K2" s="84"/>
      <c r="L2" s="84"/>
      <c r="M2" s="84"/>
      <c r="N2" s="84"/>
      <c r="O2" s="84"/>
      <c r="P2" s="84"/>
      <c r="Q2" s="84"/>
      <c r="R2" s="84"/>
      <c r="S2" s="84"/>
      <c r="T2" s="84"/>
      <c r="V2" s="103"/>
      <c r="W2" s="146"/>
      <c r="X2" s="103"/>
      <c r="Y2" s="103"/>
      <c r="Z2" s="103"/>
      <c r="AA2" s="103"/>
      <c r="AB2" s="103"/>
      <c r="AC2" s="103"/>
      <c r="AD2" s="103"/>
      <c r="AE2" s="103"/>
      <c r="AF2" s="103"/>
      <c r="AG2" s="104"/>
      <c r="AH2" s="103"/>
      <c r="AI2" s="103"/>
      <c r="AJ2" s="103"/>
      <c r="AK2" s="103"/>
      <c r="AL2" s="103"/>
      <c r="AM2" s="103"/>
      <c r="AN2" s="103"/>
      <c r="AO2" s="103"/>
      <c r="AP2" s="103"/>
      <c r="AQ2" s="104"/>
      <c r="AR2" s="103"/>
      <c r="AS2" s="103"/>
      <c r="AT2" s="103"/>
      <c r="AU2" s="103"/>
      <c r="AV2" s="103"/>
      <c r="AW2" s="103"/>
      <c r="AX2" s="103"/>
      <c r="AY2" s="103"/>
      <c r="AZ2" s="103"/>
      <c r="BA2" s="104"/>
      <c r="BB2" s="103"/>
      <c r="BC2" s="103"/>
      <c r="BD2" s="103"/>
      <c r="BE2" s="103"/>
      <c r="BF2" s="103"/>
      <c r="BG2" s="103"/>
      <c r="BH2" s="103"/>
      <c r="BI2" s="103"/>
      <c r="BJ2" s="103"/>
      <c r="BK2" s="104"/>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row>
    <row r="3" spans="1:103" s="75" customFormat="1" ht="12.75">
      <c r="A3" s="97" t="s">
        <v>305</v>
      </c>
      <c r="B3" s="97" t="s">
        <v>306</v>
      </c>
      <c r="C3" s="78"/>
      <c r="D3" s="113"/>
      <c r="E3" s="98">
        <v>892.2929767365334</v>
      </c>
      <c r="F3" s="99">
        <v>915.6161159589599</v>
      </c>
      <c r="G3" s="99">
        <v>909.5592355008</v>
      </c>
      <c r="H3" s="99">
        <v>897</v>
      </c>
      <c r="I3" s="99">
        <v>899.4460304046745</v>
      </c>
      <c r="J3" s="99">
        <v>901.8987308926719</v>
      </c>
      <c r="K3" s="99">
        <v>904.3581196526503</v>
      </c>
      <c r="L3" s="99">
        <v>906.8242149228673</v>
      </c>
      <c r="M3" s="99">
        <v>909.2970349913136</v>
      </c>
      <c r="N3" s="99">
        <v>911.7765981958497</v>
      </c>
      <c r="O3" s="99">
        <v>914.2629229243422</v>
      </c>
      <c r="P3" s="99">
        <v>916.7560276147985</v>
      </c>
      <c r="Q3" s="99">
        <v>919.2559307555058</v>
      </c>
      <c r="R3" s="99">
        <v>921.7626508851662</v>
      </c>
      <c r="S3" s="99">
        <v>924.5279388378216</v>
      </c>
      <c r="T3" s="99">
        <v>927.3015226543349</v>
      </c>
      <c r="V3" s="86">
        <f>R3-G3</f>
        <v>12.203415384366167</v>
      </c>
      <c r="W3" s="145">
        <f>EXP(1/11*LN(R3/G3))-1</f>
        <v>0.0012123375873775988</v>
      </c>
      <c r="X3" s="103"/>
      <c r="Y3" s="103"/>
      <c r="Z3" s="103"/>
      <c r="AA3" s="103"/>
      <c r="AB3" s="103"/>
      <c r="AC3" s="103"/>
      <c r="AD3" s="103"/>
      <c r="AE3" s="103"/>
      <c r="AF3" s="103"/>
      <c r="AG3" s="104"/>
      <c r="AH3" s="103"/>
      <c r="AI3" s="103"/>
      <c r="AJ3" s="103"/>
      <c r="AK3" s="103"/>
      <c r="AL3" s="103"/>
      <c r="AM3" s="103"/>
      <c r="AN3" s="103"/>
      <c r="AO3" s="103"/>
      <c r="AP3" s="103"/>
      <c r="AQ3" s="104"/>
      <c r="AR3" s="103"/>
      <c r="AS3" s="103"/>
      <c r="AT3" s="103"/>
      <c r="AU3" s="103"/>
      <c r="AV3" s="103"/>
      <c r="AW3" s="103"/>
      <c r="AX3" s="103"/>
      <c r="AY3" s="103"/>
      <c r="AZ3" s="103"/>
      <c r="BA3" s="104"/>
      <c r="BB3" s="103"/>
      <c r="BC3" s="103"/>
      <c r="BD3" s="103"/>
      <c r="BE3" s="103"/>
      <c r="BF3" s="103"/>
      <c r="BG3" s="103"/>
      <c r="BH3" s="103"/>
      <c r="BI3" s="103"/>
      <c r="BJ3" s="103"/>
      <c r="BK3" s="104"/>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row>
    <row r="4" spans="1:103" s="123" customFormat="1" ht="12.75">
      <c r="A4" s="118" t="s">
        <v>305</v>
      </c>
      <c r="B4" s="119" t="s">
        <v>307</v>
      </c>
      <c r="C4" s="120"/>
      <c r="D4" s="121"/>
      <c r="E4" s="122">
        <v>0.4369061607410544</v>
      </c>
      <c r="F4" s="116">
        <v>1.6495282686564678</v>
      </c>
      <c r="G4" s="116">
        <v>-0.661508721022912</v>
      </c>
      <c r="H4" s="116">
        <v>-1.3808045711156893</v>
      </c>
      <c r="I4" s="116">
        <v>0.2726901231521168</v>
      </c>
      <c r="J4" s="116">
        <v>0.2726901231521168</v>
      </c>
      <c r="K4" s="116">
        <v>0.2726901231521026</v>
      </c>
      <c r="L4" s="116">
        <v>0.2726901231521168</v>
      </c>
      <c r="M4" s="116">
        <v>0.2726901231521026</v>
      </c>
      <c r="N4" s="116">
        <v>0.2726901231521026</v>
      </c>
      <c r="O4" s="116">
        <v>0.2726901231521168</v>
      </c>
      <c r="P4" s="116">
        <v>0.2726901231521026</v>
      </c>
      <c r="Q4" s="116">
        <v>0.2726901231521168</v>
      </c>
      <c r="R4" s="116">
        <v>0.2726901231521168</v>
      </c>
      <c r="S4" s="116">
        <v>0.3</v>
      </c>
      <c r="T4" s="116">
        <v>0.3</v>
      </c>
      <c r="W4" s="147"/>
      <c r="X4" s="125"/>
      <c r="Y4" s="125"/>
      <c r="Z4" s="125"/>
      <c r="AA4" s="125"/>
      <c r="AB4" s="125"/>
      <c r="AC4" s="125"/>
      <c r="AD4" s="125"/>
      <c r="AE4" s="125"/>
      <c r="AF4" s="125"/>
      <c r="AG4" s="124"/>
      <c r="AH4" s="125"/>
      <c r="AI4" s="125"/>
      <c r="AJ4" s="125"/>
      <c r="AK4" s="125"/>
      <c r="AL4" s="125"/>
      <c r="AM4" s="125"/>
      <c r="AN4" s="125"/>
      <c r="AO4" s="125"/>
      <c r="AP4" s="125"/>
      <c r="AQ4" s="124"/>
      <c r="AR4" s="125"/>
      <c r="AS4" s="125"/>
      <c r="AT4" s="125"/>
      <c r="AU4" s="125"/>
      <c r="AV4" s="125"/>
      <c r="AW4" s="125"/>
      <c r="AX4" s="125"/>
      <c r="AY4" s="125"/>
      <c r="AZ4" s="125"/>
      <c r="BA4" s="124"/>
      <c r="BB4" s="125"/>
      <c r="BC4" s="125"/>
      <c r="BD4" s="125"/>
      <c r="BE4" s="125"/>
      <c r="BF4" s="125"/>
      <c r="BG4" s="125"/>
      <c r="BH4" s="125"/>
      <c r="BI4" s="125"/>
      <c r="BJ4" s="125"/>
      <c r="BK4" s="124"/>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row>
    <row r="5" spans="1:103" s="75" customFormat="1" ht="12.75">
      <c r="A5" s="97" t="s">
        <v>305</v>
      </c>
      <c r="B5" s="126" t="s">
        <v>308</v>
      </c>
      <c r="C5" s="87"/>
      <c r="D5" s="87"/>
      <c r="E5" s="127">
        <v>62.85671054328099</v>
      </c>
      <c r="F5" s="128">
        <v>63.867648359062265</v>
      </c>
      <c r="G5" s="128">
        <v>63.427483860017816</v>
      </c>
      <c r="H5" s="128">
        <v>62.5008008360016</v>
      </c>
      <c r="I5" s="128">
        <v>62.61871090331616</v>
      </c>
      <c r="J5" s="128">
        <v>62.807489532192854</v>
      </c>
      <c r="K5" s="128">
        <v>63.04524934559132</v>
      </c>
      <c r="L5" s="128">
        <v>63.349812281361615</v>
      </c>
      <c r="M5" s="128">
        <v>63.69857243182854</v>
      </c>
      <c r="N5" s="128">
        <v>63.97822363132399</v>
      </c>
      <c r="O5" s="128">
        <v>64.12426980541548</v>
      </c>
      <c r="P5" s="128">
        <v>64.31204703472534</v>
      </c>
      <c r="Q5" s="128">
        <v>64.69081402665785</v>
      </c>
      <c r="R5" s="128">
        <v>65.14744372234273</v>
      </c>
      <c r="S5" s="128">
        <v>65.66947694708722</v>
      </c>
      <c r="T5" s="128">
        <v>66.26377170954837</v>
      </c>
      <c r="W5" s="146"/>
      <c r="X5" s="103"/>
      <c r="Y5" s="103"/>
      <c r="Z5" s="103"/>
      <c r="AA5" s="103"/>
      <c r="AB5" s="103"/>
      <c r="AC5" s="103"/>
      <c r="AD5" s="103"/>
      <c r="AE5" s="103"/>
      <c r="AF5" s="103"/>
      <c r="AG5" s="104"/>
      <c r="AH5" s="103"/>
      <c r="AI5" s="103"/>
      <c r="AJ5" s="103"/>
      <c r="AK5" s="103"/>
      <c r="AL5" s="103"/>
      <c r="AM5" s="103"/>
      <c r="AN5" s="103"/>
      <c r="AO5" s="103"/>
      <c r="AP5" s="103"/>
      <c r="AQ5" s="104"/>
      <c r="AR5" s="103"/>
      <c r="AS5" s="103"/>
      <c r="AT5" s="103"/>
      <c r="AU5" s="103"/>
      <c r="AV5" s="103"/>
      <c r="AW5" s="103"/>
      <c r="AX5" s="103"/>
      <c r="AY5" s="103"/>
      <c r="AZ5" s="103"/>
      <c r="BA5" s="104"/>
      <c r="BB5" s="103"/>
      <c r="BC5" s="103"/>
      <c r="BD5" s="103"/>
      <c r="BE5" s="103"/>
      <c r="BF5" s="103"/>
      <c r="BG5" s="103"/>
      <c r="BH5" s="103"/>
      <c r="BI5" s="103"/>
      <c r="BJ5" s="103"/>
      <c r="BK5" s="104"/>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row>
    <row r="6" spans="1:103" s="75" customFormat="1" ht="12.75">
      <c r="A6" s="97" t="s">
        <v>305</v>
      </c>
      <c r="B6" s="117" t="s">
        <v>309</v>
      </c>
      <c r="C6" s="78"/>
      <c r="D6" s="113"/>
      <c r="E6" s="109">
        <v>67.0993855414314</v>
      </c>
      <c r="F6" s="110">
        <v>68.68727793142732</v>
      </c>
      <c r="G6" s="110">
        <v>68.1063389741228</v>
      </c>
      <c r="H6" s="110">
        <v>67.1966804839841</v>
      </c>
      <c r="I6" s="110">
        <v>66.94598833678987</v>
      </c>
      <c r="J6" s="110">
        <v>66.8160728291273</v>
      </c>
      <c r="K6" s="110">
        <v>66.80489927086927</v>
      </c>
      <c r="L6" s="110">
        <v>66.91491177242459</v>
      </c>
      <c r="M6" s="110">
        <v>67.10676654442736</v>
      </c>
      <c r="N6" s="110">
        <v>67.27505586034196</v>
      </c>
      <c r="O6" s="110">
        <v>67.36379551617347</v>
      </c>
      <c r="P6" s="110">
        <v>67.5226349792289</v>
      </c>
      <c r="Q6" s="110">
        <v>67.89644098201885</v>
      </c>
      <c r="R6" s="110">
        <v>68.36329854293417</v>
      </c>
      <c r="S6" s="110">
        <v>68.90116951763244</v>
      </c>
      <c r="T6" s="110">
        <v>69.5346682508069</v>
      </c>
      <c r="W6" s="146"/>
      <c r="X6" s="103"/>
      <c r="Y6" s="103"/>
      <c r="Z6" s="103"/>
      <c r="AA6" s="103"/>
      <c r="AB6" s="103"/>
      <c r="AC6" s="103"/>
      <c r="AD6" s="103"/>
      <c r="AE6" s="103"/>
      <c r="AF6" s="103"/>
      <c r="AG6" s="104"/>
      <c r="AH6" s="103"/>
      <c r="AI6" s="103"/>
      <c r="AJ6" s="103"/>
      <c r="AK6" s="103"/>
      <c r="AL6" s="103"/>
      <c r="AM6" s="103"/>
      <c r="AN6" s="103"/>
      <c r="AO6" s="103"/>
      <c r="AP6" s="103"/>
      <c r="AQ6" s="104"/>
      <c r="AR6" s="103"/>
      <c r="AS6" s="103"/>
      <c r="AT6" s="103"/>
      <c r="AU6" s="103"/>
      <c r="AV6" s="103"/>
      <c r="AW6" s="103"/>
      <c r="AX6" s="103"/>
      <c r="AY6" s="103"/>
      <c r="AZ6" s="103"/>
      <c r="BA6" s="104"/>
      <c r="BB6" s="103"/>
      <c r="BC6" s="103"/>
      <c r="BD6" s="103"/>
      <c r="BE6" s="103"/>
      <c r="BF6" s="103"/>
      <c r="BG6" s="103"/>
      <c r="BH6" s="103"/>
      <c r="BI6" s="103"/>
      <c r="BJ6" s="103"/>
      <c r="BK6" s="104"/>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row>
    <row r="7" spans="1:103" s="75" customFormat="1" ht="12.75">
      <c r="A7" s="97" t="s">
        <v>305</v>
      </c>
      <c r="B7" s="117" t="s">
        <v>310</v>
      </c>
      <c r="C7" s="78"/>
      <c r="D7" s="113"/>
      <c r="E7" s="109">
        <v>58.525594728541726</v>
      </c>
      <c r="F7" s="110">
        <v>58.89746164192172</v>
      </c>
      <c r="G7" s="110">
        <v>58.59605568627894</v>
      </c>
      <c r="H7" s="110">
        <v>57.642647448588704</v>
      </c>
      <c r="I7" s="110">
        <v>58.14861398092912</v>
      </c>
      <c r="J7" s="110">
        <v>58.666014628753196</v>
      </c>
      <c r="K7" s="110">
        <v>59.16156872184176</v>
      </c>
      <c r="L7" s="110">
        <v>59.66609008808217</v>
      </c>
      <c r="M7" s="110">
        <v>60.17492384797764</v>
      </c>
      <c r="N7" s="110">
        <v>60.56977771354899</v>
      </c>
      <c r="O7" s="110">
        <v>60.777197619178416</v>
      </c>
      <c r="P7" s="110">
        <v>60.99574056553861</v>
      </c>
      <c r="Q7" s="110">
        <v>61.38019383750437</v>
      </c>
      <c r="R7" s="110">
        <v>61.82740954708736</v>
      </c>
      <c r="S7" s="110">
        <v>62.33434090829842</v>
      </c>
      <c r="T7" s="110">
        <v>62.89029463460422</v>
      </c>
      <c r="W7" s="146"/>
      <c r="X7" s="103"/>
      <c r="Y7" s="103"/>
      <c r="Z7" s="103"/>
      <c r="AA7" s="103"/>
      <c r="AB7" s="103"/>
      <c r="AC7" s="103"/>
      <c r="AD7" s="103"/>
      <c r="AE7" s="103"/>
      <c r="AF7" s="103"/>
      <c r="AG7" s="104"/>
      <c r="AH7" s="103"/>
      <c r="AI7" s="103"/>
      <c r="AJ7" s="103"/>
      <c r="AK7" s="103"/>
      <c r="AL7" s="103"/>
      <c r="AM7" s="103"/>
      <c r="AN7" s="103"/>
      <c r="AO7" s="103"/>
      <c r="AP7" s="103"/>
      <c r="AQ7" s="104"/>
      <c r="AR7" s="103"/>
      <c r="AS7" s="103"/>
      <c r="AT7" s="103"/>
      <c r="AU7" s="103"/>
      <c r="AV7" s="103"/>
      <c r="AW7" s="103"/>
      <c r="AX7" s="103"/>
      <c r="AY7" s="103"/>
      <c r="AZ7" s="103"/>
      <c r="BA7" s="104"/>
      <c r="BB7" s="103"/>
      <c r="BC7" s="103"/>
      <c r="BD7" s="103"/>
      <c r="BE7" s="103"/>
      <c r="BF7" s="103"/>
      <c r="BG7" s="103"/>
      <c r="BH7" s="103"/>
      <c r="BI7" s="103"/>
      <c r="BJ7" s="103"/>
      <c r="BK7" s="104"/>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row>
    <row r="8" spans="1:103" s="75" customFormat="1" ht="12.75" customHeight="1">
      <c r="A8" s="97" t="s">
        <v>305</v>
      </c>
      <c r="B8" s="117" t="s">
        <v>311</v>
      </c>
      <c r="C8" s="78"/>
      <c r="D8" s="113"/>
      <c r="E8" s="109">
        <v>35.48737605633393</v>
      </c>
      <c r="F8" s="110">
        <v>31.854491483299146</v>
      </c>
      <c r="G8" s="110">
        <v>31.268432385568197</v>
      </c>
      <c r="H8" s="110">
        <v>29.147280126952595</v>
      </c>
      <c r="I8" s="110">
        <v>27.849167449227135</v>
      </c>
      <c r="J8" s="110">
        <v>28.25027135682534</v>
      </c>
      <c r="K8" s="110">
        <v>28.722245909885075</v>
      </c>
      <c r="L8" s="110">
        <v>29.329617038789458</v>
      </c>
      <c r="M8" s="110">
        <v>29.753824492419266</v>
      </c>
      <c r="N8" s="110">
        <v>30.033229308075455</v>
      </c>
      <c r="O8" s="110">
        <v>30.117917155344813</v>
      </c>
      <c r="P8" s="110">
        <v>30.12815289426926</v>
      </c>
      <c r="Q8" s="110">
        <v>29.946531173232792</v>
      </c>
      <c r="R8" s="110">
        <v>29.595126973875672</v>
      </c>
      <c r="S8" s="110">
        <v>29.33872320693619</v>
      </c>
      <c r="T8" s="110">
        <v>29.110781847059314</v>
      </c>
      <c r="W8" s="146"/>
      <c r="X8" s="103"/>
      <c r="Y8" s="103"/>
      <c r="Z8" s="103"/>
      <c r="AA8" s="103"/>
      <c r="AB8" s="103"/>
      <c r="AC8" s="103"/>
      <c r="AD8" s="103"/>
      <c r="AE8" s="103"/>
      <c r="AF8" s="103"/>
      <c r="AG8" s="104"/>
      <c r="AH8" s="103"/>
      <c r="AI8" s="103"/>
      <c r="AJ8" s="103"/>
      <c r="AK8" s="103"/>
      <c r="AL8" s="103"/>
      <c r="AM8" s="103"/>
      <c r="AN8" s="103"/>
      <c r="AO8" s="103"/>
      <c r="AP8" s="103"/>
      <c r="AQ8" s="104"/>
      <c r="AR8" s="103"/>
      <c r="AS8" s="103"/>
      <c r="AT8" s="103"/>
      <c r="AU8" s="103"/>
      <c r="AV8" s="103"/>
      <c r="AW8" s="103"/>
      <c r="AX8" s="103"/>
      <c r="AY8" s="103"/>
      <c r="AZ8" s="103"/>
      <c r="BA8" s="104"/>
      <c r="BB8" s="103"/>
      <c r="BC8" s="103"/>
      <c r="BD8" s="103"/>
      <c r="BE8" s="103"/>
      <c r="BF8" s="103"/>
      <c r="BG8" s="103"/>
      <c r="BH8" s="103"/>
      <c r="BI8" s="103"/>
      <c r="BJ8" s="103"/>
      <c r="BK8" s="104"/>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row>
    <row r="9" spans="1:23" s="75" customFormat="1" ht="12.75">
      <c r="A9" s="97" t="s">
        <v>305</v>
      </c>
      <c r="B9" s="117" t="s">
        <v>312</v>
      </c>
      <c r="C9" s="78"/>
      <c r="D9" s="113"/>
      <c r="E9" s="109">
        <v>81.82895645010166</v>
      </c>
      <c r="F9" s="110">
        <v>82.95401681698031</v>
      </c>
      <c r="G9" s="110">
        <v>82.4881623881459</v>
      </c>
      <c r="H9" s="110">
        <v>81.75164711702725</v>
      </c>
      <c r="I9" s="110">
        <v>81.88841461441983</v>
      </c>
      <c r="J9" s="110">
        <v>82.04582301497457</v>
      </c>
      <c r="K9" s="110">
        <v>82.22411318978648</v>
      </c>
      <c r="L9" s="110">
        <v>82.74823301505944</v>
      </c>
      <c r="M9" s="110">
        <v>82.96721012326317</v>
      </c>
      <c r="N9" s="110">
        <v>83.20542874984584</v>
      </c>
      <c r="O9" s="110">
        <v>83.80581507277036</v>
      </c>
      <c r="P9" s="110">
        <v>84.97155655141077</v>
      </c>
      <c r="Q9" s="110">
        <v>85.40066400954538</v>
      </c>
      <c r="R9" s="110">
        <v>86.10136864055974</v>
      </c>
      <c r="S9" s="110">
        <v>86.67220908596751</v>
      </c>
      <c r="T9" s="110">
        <v>87.00838171058079</v>
      </c>
      <c r="W9" s="145"/>
    </row>
    <row r="10" spans="1:23" s="75" customFormat="1" ht="12.75">
      <c r="A10" s="97" t="s">
        <v>305</v>
      </c>
      <c r="B10" s="117" t="s">
        <v>313</v>
      </c>
      <c r="C10" s="78"/>
      <c r="D10" s="113"/>
      <c r="E10" s="109">
        <v>23.098329990766427</v>
      </c>
      <c r="F10" s="110">
        <v>25.018693646839935</v>
      </c>
      <c r="G10" s="110">
        <v>24.376991447020497</v>
      </c>
      <c r="H10" s="110">
        <v>24.085388771114317</v>
      </c>
      <c r="I10" s="110">
        <v>23.859443818186946</v>
      </c>
      <c r="J10" s="110">
        <v>24.235632966283692</v>
      </c>
      <c r="K10" s="110">
        <v>25.235820598118675</v>
      </c>
      <c r="L10" s="110">
        <v>26.152292788847145</v>
      </c>
      <c r="M10" s="110">
        <v>27.26152921187497</v>
      </c>
      <c r="N10" s="110">
        <v>28.683832252586175</v>
      </c>
      <c r="O10" s="110">
        <v>28.76375745968155</v>
      </c>
      <c r="P10" s="110">
        <v>28.96356851779456</v>
      </c>
      <c r="Q10" s="110">
        <v>30.2999272299793</v>
      </c>
      <c r="R10" s="110">
        <v>31.52636725577626</v>
      </c>
      <c r="S10" s="110">
        <v>32.845826087837786</v>
      </c>
      <c r="T10" s="110">
        <v>34.26428213094125</v>
      </c>
      <c r="W10" s="145"/>
    </row>
    <row r="11" spans="1:23" s="75" customFormat="1" ht="12.75">
      <c r="A11" s="97" t="s">
        <v>305</v>
      </c>
      <c r="B11" s="117" t="s">
        <v>314</v>
      </c>
      <c r="C11" s="78"/>
      <c r="D11" s="113"/>
      <c r="E11" s="109">
        <v>8.120812165136272</v>
      </c>
      <c r="F11" s="110">
        <v>8.198935128476013</v>
      </c>
      <c r="G11" s="110">
        <v>7.2</v>
      </c>
      <c r="H11" s="110">
        <v>6.394227695082839</v>
      </c>
      <c r="I11" s="110">
        <v>6.422327768123866</v>
      </c>
      <c r="J11" s="110">
        <v>6.278839323629247</v>
      </c>
      <c r="K11" s="110">
        <v>6.085236813281724</v>
      </c>
      <c r="L11" s="110">
        <v>5.886052873240908</v>
      </c>
      <c r="M11" s="110">
        <v>5.753758570043999</v>
      </c>
      <c r="N11" s="110">
        <v>5.755195415272111</v>
      </c>
      <c r="O11" s="110">
        <v>5.888671211134068</v>
      </c>
      <c r="P11" s="110">
        <v>6.083832741594356</v>
      </c>
      <c r="Q11" s="110">
        <v>6.224705893688943</v>
      </c>
      <c r="R11" s="110">
        <v>6.382449736107219</v>
      </c>
      <c r="S11" s="110">
        <v>6.5933491709958245</v>
      </c>
      <c r="T11" s="110">
        <v>6.805067543174028</v>
      </c>
      <c r="W11" s="145"/>
    </row>
    <row r="12" spans="1:23" s="75" customFormat="1" ht="12.75">
      <c r="A12" s="97" t="s">
        <v>305</v>
      </c>
      <c r="B12" s="117"/>
      <c r="C12" s="78"/>
      <c r="D12" s="113"/>
      <c r="E12" s="83"/>
      <c r="W12" s="145"/>
    </row>
    <row r="13" spans="1:23" s="75" customFormat="1" ht="12.75">
      <c r="A13" s="97" t="s">
        <v>305</v>
      </c>
      <c r="B13" s="97" t="s">
        <v>315</v>
      </c>
      <c r="C13" s="78"/>
      <c r="D13" s="113"/>
      <c r="E13" s="98">
        <v>71.56928275284302</v>
      </c>
      <c r="F13" s="99">
        <v>62.60623015104</v>
      </c>
      <c r="G13" s="99">
        <v>61.67326369920001</v>
      </c>
      <c r="H13" s="99">
        <v>64</v>
      </c>
      <c r="I13" s="99">
        <v>63.35197120020859</v>
      </c>
      <c r="J13" s="99">
        <v>61.07733278685797</v>
      </c>
      <c r="K13" s="99">
        <v>59.144245756409255</v>
      </c>
      <c r="L13" s="99">
        <v>57.68409624835032</v>
      </c>
      <c r="M13" s="99">
        <v>56.85952859073779</v>
      </c>
      <c r="N13" s="99">
        <v>56.36239596245113</v>
      </c>
      <c r="O13" s="99">
        <v>51.17130468925022</v>
      </c>
      <c r="P13" s="99">
        <v>47.64305884205815</v>
      </c>
      <c r="Q13" s="99">
        <v>45.19629693984357</v>
      </c>
      <c r="R13" s="99">
        <v>43.477752908033516</v>
      </c>
      <c r="S13" s="99">
        <v>42.27429167896572</v>
      </c>
      <c r="T13" s="99">
        <v>41.42576658566309</v>
      </c>
      <c r="V13" s="86">
        <f>R13-G13</f>
        <v>-18.19551079116649</v>
      </c>
      <c r="W13" s="145">
        <f>EXP(1/11*LN(R13/G13))-1</f>
        <v>-0.03128218382957948</v>
      </c>
    </row>
    <row r="14" spans="1:23" s="123" customFormat="1" ht="12.75">
      <c r="A14" s="118" t="s">
        <v>305</v>
      </c>
      <c r="B14" s="129" t="s">
        <v>316</v>
      </c>
      <c r="C14" s="120"/>
      <c r="D14" s="121"/>
      <c r="E14" s="130">
        <v>7.424166666666667</v>
      </c>
      <c r="F14" s="131">
        <v>6.4</v>
      </c>
      <c r="G14" s="131">
        <v>6.35</v>
      </c>
      <c r="H14" s="131">
        <v>6.7</v>
      </c>
      <c r="I14" s="131">
        <v>6.579985738920054</v>
      </c>
      <c r="J14" s="131">
        <v>6.342559809169253</v>
      </c>
      <c r="K14" s="131">
        <v>6.138463991346745</v>
      </c>
      <c r="L14" s="131">
        <v>5.980673839741579</v>
      </c>
      <c r="M14" s="131">
        <v>5.8851257377923885</v>
      </c>
      <c r="N14" s="131">
        <v>5.821725630569456</v>
      </c>
      <c r="O14" s="131">
        <v>5.300340844113012</v>
      </c>
      <c r="P14" s="131">
        <v>4.94018083500015</v>
      </c>
      <c r="Q14" s="131">
        <v>4.686214168206593</v>
      </c>
      <c r="R14" s="131">
        <v>4.504344486324311</v>
      </c>
      <c r="S14" s="131">
        <v>4.372589382253362</v>
      </c>
      <c r="T14" s="131">
        <v>4.276308414741069</v>
      </c>
      <c r="W14" s="148"/>
    </row>
    <row r="15" spans="1:23" s="75" customFormat="1" ht="12.75">
      <c r="A15" s="97" t="s">
        <v>305</v>
      </c>
      <c r="B15" s="117" t="s">
        <v>309</v>
      </c>
      <c r="C15" s="78"/>
      <c r="D15" s="113"/>
      <c r="E15" s="109">
        <v>7.364299999999999</v>
      </c>
      <c r="F15" s="110">
        <v>5.9</v>
      </c>
      <c r="G15" s="110">
        <v>5.945</v>
      </c>
      <c r="H15" s="110">
        <v>6.309751434034416</v>
      </c>
      <c r="I15" s="110">
        <v>6.302499382769598</v>
      </c>
      <c r="J15" s="110">
        <v>6.1276635116853395</v>
      </c>
      <c r="K15" s="110">
        <v>5.971479899278945</v>
      </c>
      <c r="L15" s="110">
        <v>5.850150805504946</v>
      </c>
      <c r="M15" s="110">
        <v>5.782173974868549</v>
      </c>
      <c r="N15" s="110">
        <v>5.740134357714949</v>
      </c>
      <c r="O15" s="110">
        <v>5.24055123174745</v>
      </c>
      <c r="P15" s="110">
        <v>4.895408554926557</v>
      </c>
      <c r="Q15" s="110">
        <v>4.652133476037511</v>
      </c>
      <c r="R15" s="110">
        <v>4.478079553696398</v>
      </c>
      <c r="S15" s="110">
        <v>4.352158523751131</v>
      </c>
      <c r="T15" s="110">
        <v>4.260304114257128</v>
      </c>
      <c r="W15" s="145"/>
    </row>
    <row r="16" spans="1:23" s="75" customFormat="1" ht="12.75">
      <c r="A16" s="97" t="s">
        <v>305</v>
      </c>
      <c r="B16" s="117" t="s">
        <v>310</v>
      </c>
      <c r="C16" s="78"/>
      <c r="D16" s="113"/>
      <c r="E16" s="109">
        <v>7.495924652196714</v>
      </c>
      <c r="F16" s="110">
        <v>6.992371145616684</v>
      </c>
      <c r="G16" s="110">
        <v>6.828389800554621</v>
      </c>
      <c r="H16" s="110">
        <v>7.077625570776255</v>
      </c>
      <c r="I16" s="110">
        <v>6.907525665964694</v>
      </c>
      <c r="J16" s="110">
        <v>6.59393342182934</v>
      </c>
      <c r="K16" s="110">
        <v>6.3323787284211495</v>
      </c>
      <c r="L16" s="110">
        <v>6.131364977665613</v>
      </c>
      <c r="M16" s="110">
        <v>6.003428523663673</v>
      </c>
      <c r="N16" s="110">
        <v>5.915130548221595</v>
      </c>
      <c r="O16" s="110">
        <v>5.368589682092306</v>
      </c>
      <c r="P16" s="110">
        <v>4.991166643779977</v>
      </c>
      <c r="Q16" s="110">
        <v>4.724949932496343</v>
      </c>
      <c r="R16" s="110">
        <v>4.53415050163472</v>
      </c>
      <c r="S16" s="110">
        <v>4.39574569922669</v>
      </c>
      <c r="T16" s="110">
        <v>4.294429390000264</v>
      </c>
      <c r="W16" s="145"/>
    </row>
    <row r="17" spans="1:23" s="75" customFormat="1" ht="12.75">
      <c r="A17" s="97" t="s">
        <v>305</v>
      </c>
      <c r="B17" s="117" t="s">
        <v>317</v>
      </c>
      <c r="C17" s="78"/>
      <c r="D17" s="113"/>
      <c r="E17" s="109">
        <v>18.008194510135393</v>
      </c>
      <c r="F17" s="110">
        <v>18.01801801801802</v>
      </c>
      <c r="G17" s="110">
        <v>16.9811320754717</v>
      </c>
      <c r="H17" s="110">
        <v>18.622153618471405</v>
      </c>
      <c r="I17" s="110">
        <v>19.19482013560976</v>
      </c>
      <c r="J17" s="110">
        <v>18.69532524807156</v>
      </c>
      <c r="K17" s="110">
        <v>18.311417632655875</v>
      </c>
      <c r="L17" s="110">
        <v>18.077259866375805</v>
      </c>
      <c r="M17" s="110">
        <v>18.159417756518692</v>
      </c>
      <c r="N17" s="110">
        <v>18.407460595487272</v>
      </c>
      <c r="O17" s="110">
        <v>17.494365373772393</v>
      </c>
      <c r="P17" s="110">
        <v>17.035700044263212</v>
      </c>
      <c r="Q17" s="110">
        <v>16.9667848533146</v>
      </c>
      <c r="R17" s="110">
        <v>17.21496508207508</v>
      </c>
      <c r="S17" s="110">
        <v>17.566409629051865</v>
      </c>
      <c r="T17" s="110">
        <v>17.973738934000874</v>
      </c>
      <c r="W17" s="145"/>
    </row>
    <row r="18" spans="1:23" s="75" customFormat="1" ht="12.75">
      <c r="A18" s="97" t="s">
        <v>305</v>
      </c>
      <c r="B18" s="117" t="s">
        <v>318</v>
      </c>
      <c r="C18" s="78"/>
      <c r="D18" s="113"/>
      <c r="E18" s="109">
        <v>6.115916680262651</v>
      </c>
      <c r="F18" s="110">
        <v>5.167198602127318</v>
      </c>
      <c r="G18" s="110">
        <v>5.287681289725902</v>
      </c>
      <c r="H18" s="110">
        <v>5.514710062379209</v>
      </c>
      <c r="I18" s="110">
        <v>5.477208155159491</v>
      </c>
      <c r="J18" s="110">
        <v>5.277642649739115</v>
      </c>
      <c r="K18" s="110">
        <v>5.106336592132122</v>
      </c>
      <c r="L18" s="110">
        <v>4.955524181729096</v>
      </c>
      <c r="M18" s="110">
        <v>4.877350090110784</v>
      </c>
      <c r="N18" s="110">
        <v>4.825954035912191</v>
      </c>
      <c r="O18" s="110">
        <v>4.372793913387134</v>
      </c>
      <c r="P18" s="110">
        <v>4.03127456328857</v>
      </c>
      <c r="Q18" s="110">
        <v>3.8143533499317317</v>
      </c>
      <c r="R18" s="110">
        <v>3.645788047530375</v>
      </c>
      <c r="S18" s="110">
        <v>3.525777142229124</v>
      </c>
      <c r="T18" s="110">
        <v>3.4444089498465975</v>
      </c>
      <c r="W18" s="145"/>
    </row>
    <row r="19" spans="1:23" s="75" customFormat="1" ht="12.75">
      <c r="A19" s="97" t="s">
        <v>305</v>
      </c>
      <c r="B19" s="117" t="s">
        <v>319</v>
      </c>
      <c r="C19" s="78"/>
      <c r="D19" s="113"/>
      <c r="E19" s="109">
        <v>3.3469343752075673</v>
      </c>
      <c r="F19" s="110">
        <v>3.3158205107707728</v>
      </c>
      <c r="G19" s="110">
        <v>3.479262837441484</v>
      </c>
      <c r="H19" s="110">
        <v>3.667351857490774</v>
      </c>
      <c r="I19" s="110">
        <v>3.720360891989822</v>
      </c>
      <c r="J19" s="110">
        <v>3.679659506789551</v>
      </c>
      <c r="K19" s="110">
        <v>3.5446796524793407</v>
      </c>
      <c r="L19" s="110">
        <v>3.381004568808574</v>
      </c>
      <c r="M19" s="110">
        <v>3.2253010393375803</v>
      </c>
      <c r="N19" s="110">
        <v>3.037048376825071</v>
      </c>
      <c r="O19" s="110">
        <v>2.703833631555602</v>
      </c>
      <c r="P19" s="110">
        <v>2.4570463169565384</v>
      </c>
      <c r="Q19" s="110">
        <v>2.2039952058786687</v>
      </c>
      <c r="R19" s="110">
        <v>2.007589546403219</v>
      </c>
      <c r="S19" s="110">
        <v>1.8494623104885584</v>
      </c>
      <c r="T19" s="110">
        <v>1.7205277768788705</v>
      </c>
      <c r="W19" s="145"/>
    </row>
    <row r="20" spans="1:23" s="75" customFormat="1" ht="12.75">
      <c r="A20" s="97" t="s">
        <v>305</v>
      </c>
      <c r="B20" s="117"/>
      <c r="C20" s="78"/>
      <c r="D20" s="113"/>
      <c r="E20" s="83"/>
      <c r="W20" s="145"/>
    </row>
    <row r="21" spans="1:23" s="75" customFormat="1" ht="12.75">
      <c r="A21" s="97" t="s">
        <v>305</v>
      </c>
      <c r="B21" s="126" t="s">
        <v>320</v>
      </c>
      <c r="C21" s="78"/>
      <c r="D21" s="113"/>
      <c r="E21" s="127">
        <v>68.01015413484213</v>
      </c>
      <c r="F21" s="128">
        <v>68.349</v>
      </c>
      <c r="G21" s="128">
        <v>67.83</v>
      </c>
      <c r="H21" s="128">
        <v>67.05666786732746</v>
      </c>
      <c r="I21" s="128">
        <v>67.1263963357813</v>
      </c>
      <c r="J21" s="128">
        <v>67.15379575771821</v>
      </c>
      <c r="K21" s="128">
        <v>67.2568501956894</v>
      </c>
      <c r="L21" s="128">
        <v>67.46440633184312</v>
      </c>
      <c r="M21" s="128">
        <v>67.76494114644218</v>
      </c>
      <c r="N21" s="128">
        <v>68.01665578105033</v>
      </c>
      <c r="O21" s="128">
        <v>67.79100861212027</v>
      </c>
      <c r="P21" s="128">
        <v>67.72935667620357</v>
      </c>
      <c r="Q21" s="128">
        <v>67.94559406154438</v>
      </c>
      <c r="R21" s="128">
        <v>68.29513120971032</v>
      </c>
      <c r="S21" s="128">
        <v>68.74922911559301</v>
      </c>
      <c r="T21" s="128">
        <v>69.30419273391841</v>
      </c>
      <c r="W21" s="145"/>
    </row>
    <row r="22" spans="1:23" s="75" customFormat="1" ht="12.75">
      <c r="A22" s="97" t="s">
        <v>305</v>
      </c>
      <c r="B22" s="117" t="s">
        <v>309</v>
      </c>
      <c r="C22" s="78"/>
      <c r="D22" s="113"/>
      <c r="E22" s="109">
        <v>72.55480698600222</v>
      </c>
      <c r="F22" s="110">
        <v>73.1</v>
      </c>
      <c r="G22" s="110">
        <v>72.5</v>
      </c>
      <c r="H22" s="110">
        <v>71.816452267258</v>
      </c>
      <c r="I22" s="110">
        <v>71.54609180810918</v>
      </c>
      <c r="J22" s="110">
        <v>71.27097972915277</v>
      </c>
      <c r="K22" s="110">
        <v>71.13735309836578</v>
      </c>
      <c r="L22" s="110">
        <v>71.15890802171575</v>
      </c>
      <c r="M22" s="110">
        <v>71.30920185469552</v>
      </c>
      <c r="N22" s="110">
        <v>71.45609903653967</v>
      </c>
      <c r="O22" s="110">
        <v>71.16660065471166</v>
      </c>
      <c r="P22" s="110">
        <v>71.0712280473906</v>
      </c>
      <c r="Q22" s="110">
        <v>71.27960033678026</v>
      </c>
      <c r="R22" s="110">
        <v>71.63806211065106</v>
      </c>
      <c r="S22" s="110">
        <v>72.10769478677031</v>
      </c>
      <c r="T22" s="110">
        <v>72.7026814969547</v>
      </c>
      <c r="W22" s="145"/>
    </row>
    <row r="23" spans="1:23" s="75" customFormat="1" ht="12.75">
      <c r="A23" s="97" t="s">
        <v>305</v>
      </c>
      <c r="B23" s="117" t="s">
        <v>310</v>
      </c>
      <c r="C23" s="78"/>
      <c r="D23" s="113"/>
      <c r="E23" s="109">
        <v>63.371986266166566</v>
      </c>
      <c r="F23" s="110">
        <v>63.44958672796559</v>
      </c>
      <c r="G23" s="110">
        <v>63.00771569729903</v>
      </c>
      <c r="H23" s="110">
        <v>62.13240139558932</v>
      </c>
      <c r="I23" s="110">
        <v>62.56083116634831</v>
      </c>
      <c r="J23" s="110">
        <v>62.90011987587235</v>
      </c>
      <c r="K23" s="110">
        <v>63.248329659721115</v>
      </c>
      <c r="L23" s="110">
        <v>63.646976298765864</v>
      </c>
      <c r="M23" s="110">
        <v>64.10061663532674</v>
      </c>
      <c r="N23" s="110">
        <v>64.46077076500161</v>
      </c>
      <c r="O23" s="110">
        <v>64.30335293452505</v>
      </c>
      <c r="P23" s="110">
        <v>64.27744386801194</v>
      </c>
      <c r="Q23" s="110">
        <v>64.50238977131923</v>
      </c>
      <c r="R23" s="110">
        <v>64.8439042558146</v>
      </c>
      <c r="S23" s="110">
        <v>65.28326208733426</v>
      </c>
      <c r="T23" s="110">
        <v>65.79912194157022</v>
      </c>
      <c r="W23" s="145"/>
    </row>
    <row r="24" spans="1:23" s="75" customFormat="1" ht="12.75">
      <c r="A24" s="97"/>
      <c r="B24" s="117"/>
      <c r="C24" s="78"/>
      <c r="D24" s="113"/>
      <c r="E24" s="109"/>
      <c r="F24" s="110"/>
      <c r="G24" s="110"/>
      <c r="H24" s="110"/>
      <c r="I24" s="110"/>
      <c r="J24" s="110"/>
      <c r="K24" s="110"/>
      <c r="L24" s="110"/>
      <c r="M24" s="110"/>
      <c r="N24" s="110"/>
      <c r="O24" s="110"/>
      <c r="P24" s="110"/>
      <c r="Q24" s="110"/>
      <c r="R24" s="110"/>
      <c r="S24" s="110"/>
      <c r="T24" s="110"/>
      <c r="W24" s="145"/>
    </row>
    <row r="25" spans="1:23" s="75" customFormat="1" ht="12.75">
      <c r="A25" s="97" t="s">
        <v>305</v>
      </c>
      <c r="B25" s="117" t="s">
        <v>351</v>
      </c>
      <c r="C25" s="78"/>
      <c r="D25" s="113"/>
      <c r="E25" s="109"/>
      <c r="F25" s="110">
        <f>F3+F13</f>
        <v>978.2223461099999</v>
      </c>
      <c r="G25" s="110">
        <f aca="true" t="shared" si="0" ref="G25:T25">G3+G13</f>
        <v>971.2324992</v>
      </c>
      <c r="H25" s="110">
        <f t="shared" si="0"/>
        <v>961</v>
      </c>
      <c r="I25" s="110">
        <f t="shared" si="0"/>
        <v>962.7980016048831</v>
      </c>
      <c r="J25" s="110">
        <f t="shared" si="0"/>
        <v>962.9760636795298</v>
      </c>
      <c r="K25" s="110">
        <f t="shared" si="0"/>
        <v>963.5023654090596</v>
      </c>
      <c r="L25" s="110">
        <f t="shared" si="0"/>
        <v>964.5083111712177</v>
      </c>
      <c r="M25" s="110">
        <f t="shared" si="0"/>
        <v>966.1565635820514</v>
      </c>
      <c r="N25" s="110">
        <f t="shared" si="0"/>
        <v>968.1389941583009</v>
      </c>
      <c r="O25" s="110">
        <f t="shared" si="0"/>
        <v>965.4342276135924</v>
      </c>
      <c r="P25" s="110">
        <f t="shared" si="0"/>
        <v>964.3990864568567</v>
      </c>
      <c r="Q25" s="110">
        <f t="shared" si="0"/>
        <v>964.4522276953494</v>
      </c>
      <c r="R25" s="110">
        <f t="shared" si="0"/>
        <v>965.2404037931997</v>
      </c>
      <c r="S25" s="110">
        <f t="shared" si="0"/>
        <v>966.8022305167873</v>
      </c>
      <c r="T25" s="110">
        <f t="shared" si="0"/>
        <v>968.727289239998</v>
      </c>
      <c r="V25" s="86">
        <f>R25-G25</f>
        <v>-5.992095406800331</v>
      </c>
      <c r="W25" s="145">
        <f>EXP(1/11*LN(R25/G25))-1</f>
        <v>-0.0005624498805557598</v>
      </c>
    </row>
    <row r="26" spans="1:23" s="75" customFormat="1" ht="12.75">
      <c r="A26" s="97" t="s">
        <v>305</v>
      </c>
      <c r="B26" s="117" t="s">
        <v>462</v>
      </c>
      <c r="C26" s="78"/>
      <c r="D26" s="113"/>
      <c r="E26" s="109"/>
      <c r="F26" s="110"/>
      <c r="G26" s="110"/>
      <c r="H26" s="110"/>
      <c r="I26" s="110"/>
      <c r="J26" s="110"/>
      <c r="K26" s="110"/>
      <c r="L26" s="110"/>
      <c r="M26" s="110"/>
      <c r="N26" s="110"/>
      <c r="O26" s="110"/>
      <c r="P26" s="110"/>
      <c r="Q26" s="110"/>
      <c r="R26" s="110">
        <f>G14*R25/100</f>
        <v>61.292765640868176</v>
      </c>
      <c r="S26" s="110"/>
      <c r="T26" s="110"/>
      <c r="V26" s="86"/>
      <c r="W26" s="145"/>
    </row>
    <row r="27" spans="1:23" s="75" customFormat="1" ht="12.75">
      <c r="A27" s="97"/>
      <c r="B27" s="71"/>
      <c r="C27" s="71"/>
      <c r="D27" s="71"/>
      <c r="E27" s="114"/>
      <c r="U27" s="84"/>
      <c r="W27" s="145"/>
    </row>
    <row r="28" spans="1:23" s="75" customFormat="1" ht="12.75">
      <c r="A28" s="97" t="s">
        <v>305</v>
      </c>
      <c r="B28" s="132" t="s">
        <v>321</v>
      </c>
      <c r="C28" s="71"/>
      <c r="D28" s="71"/>
      <c r="E28" s="114"/>
      <c r="U28" s="84"/>
      <c r="W28" s="145"/>
    </row>
    <row r="29" spans="1:23" s="75" customFormat="1" ht="12.75">
      <c r="A29" s="97" t="s">
        <v>305</v>
      </c>
      <c r="B29" s="133" t="s">
        <v>322</v>
      </c>
      <c r="C29" s="71"/>
      <c r="D29" s="71"/>
      <c r="E29" s="109">
        <v>3.2204147818644002</v>
      </c>
      <c r="F29" s="134">
        <v>2.2900763358778624</v>
      </c>
      <c r="G29" s="134">
        <v>1.9780219780219779</v>
      </c>
      <c r="H29" s="134">
        <v>1.899441340782123</v>
      </c>
      <c r="I29" s="135">
        <v>1.9324680131335987</v>
      </c>
      <c r="J29" s="135">
        <v>1.931315727301432</v>
      </c>
      <c r="K29" s="135">
        <v>1.905788936538669</v>
      </c>
      <c r="L29" s="135">
        <v>1.8561520497921897</v>
      </c>
      <c r="M29" s="135">
        <v>1.7710783639501828</v>
      </c>
      <c r="N29" s="135">
        <v>1.6662951179928078</v>
      </c>
      <c r="O29" s="135">
        <v>1.5543687432764957</v>
      </c>
      <c r="P29" s="135">
        <v>1.4275712891344672</v>
      </c>
      <c r="Q29" s="135">
        <v>1.3196476210127857</v>
      </c>
      <c r="R29" s="135">
        <v>1.2436692001227305</v>
      </c>
      <c r="S29" s="135">
        <v>1.18162731893487</v>
      </c>
      <c r="T29" s="135">
        <v>1.1315074545895425</v>
      </c>
      <c r="U29" s="84"/>
      <c r="W29" s="145"/>
    </row>
    <row r="30" spans="1:23" s="75" customFormat="1" ht="12.75">
      <c r="A30" s="97" t="s">
        <v>305</v>
      </c>
      <c r="B30" s="133" t="s">
        <v>323</v>
      </c>
      <c r="C30" s="71"/>
      <c r="D30" s="71"/>
      <c r="E30" s="109">
        <v>19.417141055140167</v>
      </c>
      <c r="F30" s="134">
        <v>17.77535441657579</v>
      </c>
      <c r="G30" s="134">
        <v>16.373626373626372</v>
      </c>
      <c r="H30" s="134">
        <v>15.083798882681565</v>
      </c>
      <c r="I30" s="135">
        <v>14.71034882829122</v>
      </c>
      <c r="J30" s="135">
        <v>14.604254447607227</v>
      </c>
      <c r="K30" s="135">
        <v>14.3147849275042</v>
      </c>
      <c r="L30" s="135">
        <v>14.10178119964161</v>
      </c>
      <c r="M30" s="135">
        <v>13.87356475840944</v>
      </c>
      <c r="N30" s="135">
        <v>13.570841313502905</v>
      </c>
      <c r="O30" s="135">
        <v>13.28533051828542</v>
      </c>
      <c r="P30" s="135">
        <v>12.973275080579322</v>
      </c>
      <c r="Q30" s="135">
        <v>12.732707767512675</v>
      </c>
      <c r="R30" s="135">
        <v>12.56391679005998</v>
      </c>
      <c r="S30" s="135">
        <v>12.444885680888145</v>
      </c>
      <c r="T30" s="135">
        <v>12.324647500055184</v>
      </c>
      <c r="U30" s="84"/>
      <c r="W30" s="145"/>
    </row>
    <row r="31" spans="1:23" s="75" customFormat="1" ht="12.75">
      <c r="A31" s="97" t="s">
        <v>305</v>
      </c>
      <c r="B31" s="133" t="s">
        <v>324</v>
      </c>
      <c r="C31" s="71"/>
      <c r="D31" s="71"/>
      <c r="E31" s="109">
        <v>2.9125013516157723</v>
      </c>
      <c r="F31" s="134">
        <v>2.4186010281975383</v>
      </c>
      <c r="G31" s="134">
        <v>2.392072213500785</v>
      </c>
      <c r="H31" s="134">
        <v>2.4229848363926574</v>
      </c>
      <c r="I31" s="135">
        <v>2.2662434081780587</v>
      </c>
      <c r="J31" s="135">
        <v>2.087073923033791</v>
      </c>
      <c r="K31" s="135">
        <v>1.9668921660748246</v>
      </c>
      <c r="L31" s="135">
        <v>1.8867562949362464</v>
      </c>
      <c r="M31" s="135">
        <v>1.7985729180359071</v>
      </c>
      <c r="N31" s="135">
        <v>1.7020971529021145</v>
      </c>
      <c r="O31" s="135">
        <v>1.6115639095904033</v>
      </c>
      <c r="P31" s="135">
        <v>1.5173685309362084</v>
      </c>
      <c r="Q31" s="135">
        <v>1.4255996023687336</v>
      </c>
      <c r="R31" s="135">
        <v>1.352625509321333</v>
      </c>
      <c r="S31" s="135">
        <v>1.2930637006395855</v>
      </c>
      <c r="T31" s="135">
        <v>1.247058589868833</v>
      </c>
      <c r="U31" s="84"/>
      <c r="W31" s="145"/>
    </row>
    <row r="32" spans="1:23" s="75" customFormat="1" ht="12.75">
      <c r="A32" s="97" t="s">
        <v>305</v>
      </c>
      <c r="B32" s="133" t="s">
        <v>325</v>
      </c>
      <c r="C32" s="71"/>
      <c r="D32" s="71"/>
      <c r="E32" s="109">
        <v>28.829872830299134</v>
      </c>
      <c r="F32" s="134">
        <v>27.02523757594641</v>
      </c>
      <c r="G32" s="134">
        <v>26.72880690737834</v>
      </c>
      <c r="H32" s="134">
        <v>27.074221867517956</v>
      </c>
      <c r="I32" s="135">
        <v>26.34588945812968</v>
      </c>
      <c r="J32" s="135">
        <v>25.421159432518508</v>
      </c>
      <c r="K32" s="135">
        <v>24.599219431379073</v>
      </c>
      <c r="L32" s="135">
        <v>23.826223311889173</v>
      </c>
      <c r="M32" s="135">
        <v>23.125286145031573</v>
      </c>
      <c r="N32" s="135">
        <v>22.47423346413821</v>
      </c>
      <c r="O32" s="135">
        <v>21.846677460204962</v>
      </c>
      <c r="P32" s="135">
        <v>21.221763706140216</v>
      </c>
      <c r="Q32" s="135">
        <v>20.603737834450094</v>
      </c>
      <c r="R32" s="135">
        <v>20.011531251466568</v>
      </c>
      <c r="S32" s="135">
        <v>19.46131476029469</v>
      </c>
      <c r="T32" s="135">
        <v>18.954449500323623</v>
      </c>
      <c r="U32" s="84"/>
      <c r="W32" s="145"/>
    </row>
    <row r="33" spans="1:23" s="75" customFormat="1" ht="12.75">
      <c r="A33" s="97" t="s">
        <v>305</v>
      </c>
      <c r="B33" s="133" t="s">
        <v>326</v>
      </c>
      <c r="C33" s="71"/>
      <c r="D33" s="71"/>
      <c r="E33" s="109">
        <v>29.69836071314309</v>
      </c>
      <c r="F33" s="134">
        <v>33.151581243184296</v>
      </c>
      <c r="G33" s="134">
        <v>34.175824175824175</v>
      </c>
      <c r="H33" s="134">
        <v>34.18994413407821</v>
      </c>
      <c r="I33" s="135">
        <v>34.563678562219785</v>
      </c>
      <c r="J33" s="135">
        <v>35.02741952280982</v>
      </c>
      <c r="K33" s="135">
        <v>35.44083998659245</v>
      </c>
      <c r="L33" s="135">
        <v>35.67272297097446</v>
      </c>
      <c r="M33" s="135">
        <v>35.834184074985416</v>
      </c>
      <c r="N33" s="135">
        <v>35.981493091223285</v>
      </c>
      <c r="O33" s="135">
        <v>36.047063984513485</v>
      </c>
      <c r="P33" s="135">
        <v>36.13176653246522</v>
      </c>
      <c r="Q33" s="135">
        <v>36.1647761816657</v>
      </c>
      <c r="R33" s="135">
        <v>36.0844432231907</v>
      </c>
      <c r="S33" s="135">
        <v>35.91030631095137</v>
      </c>
      <c r="T33" s="135">
        <v>35.689148439828145</v>
      </c>
      <c r="U33" s="84"/>
      <c r="W33" s="145"/>
    </row>
    <row r="34" spans="1:23" s="75" customFormat="1" ht="12.75">
      <c r="A34" s="97" t="s">
        <v>305</v>
      </c>
      <c r="B34" s="133" t="s">
        <v>327</v>
      </c>
      <c r="C34" s="71"/>
      <c r="D34" s="71"/>
      <c r="E34" s="109">
        <v>7.702305821459976</v>
      </c>
      <c r="F34" s="134">
        <v>6.870229007633588</v>
      </c>
      <c r="G34" s="134">
        <v>6.7032967032967035</v>
      </c>
      <c r="H34" s="134">
        <v>6.592178770949721</v>
      </c>
      <c r="I34" s="135">
        <v>6.524054574499671</v>
      </c>
      <c r="J34" s="135">
        <v>6.437510591351793</v>
      </c>
      <c r="K34" s="135">
        <v>6.3996382041761235</v>
      </c>
      <c r="L34" s="135">
        <v>6.391915439218616</v>
      </c>
      <c r="M34" s="135">
        <v>6.41992946427218</v>
      </c>
      <c r="N34" s="135">
        <v>6.486202995186259</v>
      </c>
      <c r="O34" s="135">
        <v>6.583962805802755</v>
      </c>
      <c r="P34" s="135">
        <v>6.708117157618678</v>
      </c>
      <c r="Q34" s="135">
        <v>6.820525325822817</v>
      </c>
      <c r="R34" s="135">
        <v>6.924446774046832</v>
      </c>
      <c r="S34" s="135">
        <v>7.022190851770674</v>
      </c>
      <c r="T34" s="135">
        <v>7.11471158418099</v>
      </c>
      <c r="U34" s="84"/>
      <c r="W34" s="145"/>
    </row>
    <row r="35" spans="1:23" s="75" customFormat="1" ht="12.75">
      <c r="A35" s="97" t="s">
        <v>305</v>
      </c>
      <c r="B35" s="133" t="s">
        <v>328</v>
      </c>
      <c r="C35" s="71"/>
      <c r="D35" s="71"/>
      <c r="E35" s="109">
        <v>7.341509927414651</v>
      </c>
      <c r="F35" s="134">
        <v>9.487459105779717</v>
      </c>
      <c r="G35" s="134">
        <v>10.659340659340659</v>
      </c>
      <c r="H35" s="134">
        <v>11.508379888268157</v>
      </c>
      <c r="I35" s="135">
        <v>12.293074038271547</v>
      </c>
      <c r="J35" s="135">
        <v>12.99114958699363</v>
      </c>
      <c r="K35" s="135">
        <v>13.72272557959201</v>
      </c>
      <c r="L35" s="135">
        <v>14.453839018262244</v>
      </c>
      <c r="M35" s="135">
        <v>15.194178009175696</v>
      </c>
      <c r="N35" s="135">
        <v>15.950251095231815</v>
      </c>
      <c r="O35" s="135">
        <v>16.706149912751354</v>
      </c>
      <c r="P35" s="135">
        <v>17.449419479325904</v>
      </c>
      <c r="Q35" s="135">
        <v>18.147717717120795</v>
      </c>
      <c r="R35" s="135">
        <v>18.810212481382155</v>
      </c>
      <c r="S35" s="135">
        <v>19.444024764433664</v>
      </c>
      <c r="T35" s="135">
        <v>20.052964061123923</v>
      </c>
      <c r="U35" s="84"/>
      <c r="W35" s="145"/>
    </row>
    <row r="36" spans="1:23" s="75" customFormat="1" ht="12.75">
      <c r="A36" s="97" t="s">
        <v>305</v>
      </c>
      <c r="B36" s="133" t="s">
        <v>329</v>
      </c>
      <c r="C36" s="71"/>
      <c r="D36" s="71"/>
      <c r="E36" s="109">
        <v>0.877893519062816</v>
      </c>
      <c r="F36" s="134">
        <v>0.9814612868047983</v>
      </c>
      <c r="G36" s="134">
        <v>0.9890109890109889</v>
      </c>
      <c r="H36" s="134">
        <v>1.2290502793296088</v>
      </c>
      <c r="I36" s="135">
        <v>1.364243117276429</v>
      </c>
      <c r="J36" s="135">
        <v>1.5001167683837833</v>
      </c>
      <c r="K36" s="135">
        <v>1.6501107681426357</v>
      </c>
      <c r="L36" s="135">
        <v>1.8106097152854377</v>
      </c>
      <c r="M36" s="135">
        <v>1.983206266139581</v>
      </c>
      <c r="N36" s="135">
        <v>2.1685857698226</v>
      </c>
      <c r="O36" s="135">
        <v>2.364882665575124</v>
      </c>
      <c r="P36" s="135">
        <v>2.5707182237999713</v>
      </c>
      <c r="Q36" s="135">
        <v>2.7852879500463903</v>
      </c>
      <c r="R36" s="135">
        <v>3.0091547704096824</v>
      </c>
      <c r="S36" s="135">
        <v>3.242586612086994</v>
      </c>
      <c r="T36" s="135">
        <v>3.4855128700297633</v>
      </c>
      <c r="U36" s="84"/>
      <c r="W36" s="145"/>
    </row>
    <row r="37" spans="1:23" s="75" customFormat="1" ht="12.75">
      <c r="A37" s="97" t="s">
        <v>305</v>
      </c>
      <c r="B37" s="136" t="s">
        <v>330</v>
      </c>
      <c r="C37" s="71"/>
      <c r="D37" s="71"/>
      <c r="E37" s="98">
        <v>11.207231065687289</v>
      </c>
      <c r="F37" s="137">
        <v>11.44772438802509</v>
      </c>
      <c r="G37" s="137">
        <v>11.575058748158742</v>
      </c>
      <c r="H37" s="137">
        <v>11.677766909090275</v>
      </c>
      <c r="I37" s="137">
        <v>11.743200293750224</v>
      </c>
      <c r="J37" s="137">
        <v>11.79880840343279</v>
      </c>
      <c r="K37" s="137">
        <v>11.864145657862636</v>
      </c>
      <c r="L37" s="137">
        <v>11.927632127097908</v>
      </c>
      <c r="M37" s="137">
        <v>11.995380751811794</v>
      </c>
      <c r="N37" s="137">
        <v>12.069400934811453</v>
      </c>
      <c r="O37" s="137">
        <v>12.144116464412578</v>
      </c>
      <c r="P37" s="137">
        <v>12.221606069957572</v>
      </c>
      <c r="Q37" s="137">
        <v>12.293320567190285</v>
      </c>
      <c r="R37" s="137">
        <v>12.358231559269832</v>
      </c>
      <c r="S37" s="137">
        <v>12.41874213418401</v>
      </c>
      <c r="T37" s="137">
        <v>12.477225102210175</v>
      </c>
      <c r="U37" s="84"/>
      <c r="W37" s="145"/>
    </row>
    <row r="38" spans="1:23" s="75" customFormat="1" ht="12.75">
      <c r="A38" s="97" t="s">
        <v>305</v>
      </c>
      <c r="B38" s="133" t="s">
        <v>331</v>
      </c>
      <c r="C38" s="71"/>
      <c r="D38" s="71"/>
      <c r="E38" s="109">
        <f aca="true" t="shared" si="1" ref="E38:T38">SUM(E29:E30)</f>
        <v>22.637555837004566</v>
      </c>
      <c r="F38" s="134">
        <f t="shared" si="1"/>
        <v>20.065430752453654</v>
      </c>
      <c r="G38" s="134">
        <f t="shared" si="1"/>
        <v>18.35164835164835</v>
      </c>
      <c r="H38" s="134">
        <f t="shared" si="1"/>
        <v>16.98324022346369</v>
      </c>
      <c r="I38" s="135">
        <f t="shared" si="1"/>
        <v>16.642816841424818</v>
      </c>
      <c r="J38" s="135">
        <f t="shared" si="1"/>
        <v>16.53557017490866</v>
      </c>
      <c r="K38" s="135">
        <f t="shared" si="1"/>
        <v>16.22057386404287</v>
      </c>
      <c r="L38" s="135">
        <f t="shared" si="1"/>
        <v>15.9579332494338</v>
      </c>
      <c r="M38" s="135">
        <f t="shared" si="1"/>
        <v>15.644643122359623</v>
      </c>
      <c r="N38" s="135">
        <f t="shared" si="1"/>
        <v>15.237136431495713</v>
      </c>
      <c r="O38" s="135">
        <f t="shared" si="1"/>
        <v>14.839699261561915</v>
      </c>
      <c r="P38" s="135">
        <f t="shared" si="1"/>
        <v>14.40084636971379</v>
      </c>
      <c r="Q38" s="135">
        <f t="shared" si="1"/>
        <v>14.052355388525461</v>
      </c>
      <c r="R38" s="135">
        <f t="shared" si="1"/>
        <v>13.807585990182712</v>
      </c>
      <c r="S38" s="135">
        <f t="shared" si="1"/>
        <v>13.626512999823015</v>
      </c>
      <c r="T38" s="135">
        <f t="shared" si="1"/>
        <v>13.456154954644726</v>
      </c>
      <c r="U38" s="84"/>
      <c r="W38" s="145"/>
    </row>
    <row r="39" spans="1:23" s="75" customFormat="1" ht="12.75">
      <c r="A39" s="97" t="s">
        <v>305</v>
      </c>
      <c r="B39" s="133" t="s">
        <v>332</v>
      </c>
      <c r="C39" s="71"/>
      <c r="D39" s="71"/>
      <c r="E39" s="109">
        <f aca="true" t="shared" si="2" ref="E39:T39">SUM(E31:E33)</f>
        <v>61.440734895058</v>
      </c>
      <c r="F39" s="134">
        <f t="shared" si="2"/>
        <v>62.595419847328245</v>
      </c>
      <c r="G39" s="134">
        <f t="shared" si="2"/>
        <v>63.2967032967033</v>
      </c>
      <c r="H39" s="134">
        <f t="shared" si="2"/>
        <v>63.687150837988824</v>
      </c>
      <c r="I39" s="135">
        <f t="shared" si="2"/>
        <v>63.175811428527524</v>
      </c>
      <c r="J39" s="135">
        <f t="shared" si="2"/>
        <v>62.53565287836212</v>
      </c>
      <c r="K39" s="135">
        <f t="shared" si="2"/>
        <v>62.00695158404635</v>
      </c>
      <c r="L39" s="135">
        <f t="shared" si="2"/>
        <v>61.38570257779988</v>
      </c>
      <c r="M39" s="135">
        <f t="shared" si="2"/>
        <v>60.7580431380529</v>
      </c>
      <c r="N39" s="135">
        <f t="shared" si="2"/>
        <v>60.15782370826361</v>
      </c>
      <c r="O39" s="135">
        <f t="shared" si="2"/>
        <v>59.50530535430885</v>
      </c>
      <c r="P39" s="135">
        <f t="shared" si="2"/>
        <v>58.87089876954165</v>
      </c>
      <c r="Q39" s="135">
        <f t="shared" si="2"/>
        <v>58.19411361848453</v>
      </c>
      <c r="R39" s="135">
        <f t="shared" si="2"/>
        <v>57.4485999839786</v>
      </c>
      <c r="S39" s="135">
        <f t="shared" si="2"/>
        <v>56.664684771885646</v>
      </c>
      <c r="T39" s="135">
        <f t="shared" si="2"/>
        <v>55.8906565300206</v>
      </c>
      <c r="U39" s="84"/>
      <c r="W39" s="145"/>
    </row>
    <row r="40" spans="1:23" s="75" customFormat="1" ht="12.75">
      <c r="A40" s="97" t="s">
        <v>305</v>
      </c>
      <c r="B40" s="133" t="s">
        <v>333</v>
      </c>
      <c r="C40" s="71"/>
      <c r="D40" s="71"/>
      <c r="E40" s="109">
        <f aca="true" t="shared" si="3" ref="E40:T40">SUM(E34:E36)</f>
        <v>15.921709267937445</v>
      </c>
      <c r="F40" s="134">
        <f t="shared" si="3"/>
        <v>17.3391494002181</v>
      </c>
      <c r="G40" s="134">
        <f t="shared" si="3"/>
        <v>18.35164835164835</v>
      </c>
      <c r="H40" s="134">
        <f t="shared" si="3"/>
        <v>19.329608938547487</v>
      </c>
      <c r="I40" s="135">
        <f t="shared" si="3"/>
        <v>20.181371730047648</v>
      </c>
      <c r="J40" s="135">
        <f t="shared" si="3"/>
        <v>20.928776946729208</v>
      </c>
      <c r="K40" s="135">
        <f t="shared" si="3"/>
        <v>21.77247455191077</v>
      </c>
      <c r="L40" s="135">
        <f t="shared" si="3"/>
        <v>22.656364172766295</v>
      </c>
      <c r="M40" s="135">
        <f t="shared" si="3"/>
        <v>23.597313739587456</v>
      </c>
      <c r="N40" s="135">
        <f t="shared" si="3"/>
        <v>24.605039860240673</v>
      </c>
      <c r="O40" s="135">
        <f t="shared" si="3"/>
        <v>25.654995384129233</v>
      </c>
      <c r="P40" s="135">
        <f t="shared" si="3"/>
        <v>26.728254860744553</v>
      </c>
      <c r="Q40" s="135">
        <f t="shared" si="3"/>
        <v>27.75353099299</v>
      </c>
      <c r="R40" s="135">
        <f t="shared" si="3"/>
        <v>28.74381402583867</v>
      </c>
      <c r="S40" s="135">
        <f t="shared" si="3"/>
        <v>29.708802228291333</v>
      </c>
      <c r="T40" s="135">
        <f t="shared" si="3"/>
        <v>30.653188515334673</v>
      </c>
      <c r="U40" s="84"/>
      <c r="W40" s="145"/>
    </row>
    <row r="41" spans="1:23" s="75" customFormat="1" ht="12.75">
      <c r="A41" s="97" t="s">
        <v>305</v>
      </c>
      <c r="B41" s="133"/>
      <c r="C41" s="71"/>
      <c r="D41" s="71"/>
      <c r="E41" s="109">
        <f aca="true" t="shared" si="4" ref="E41:T41">SUM(E38:E40)</f>
        <v>100.00000000000001</v>
      </c>
      <c r="F41" s="134">
        <f t="shared" si="4"/>
        <v>100</v>
      </c>
      <c r="G41" s="134">
        <f t="shared" si="4"/>
        <v>100</v>
      </c>
      <c r="H41" s="134">
        <f t="shared" si="4"/>
        <v>100</v>
      </c>
      <c r="I41" s="135">
        <f t="shared" si="4"/>
        <v>99.99999999999999</v>
      </c>
      <c r="J41" s="135">
        <f t="shared" si="4"/>
        <v>100</v>
      </c>
      <c r="K41" s="135">
        <f t="shared" si="4"/>
        <v>99.99999999999997</v>
      </c>
      <c r="L41" s="135">
        <f t="shared" si="4"/>
        <v>99.99999999999997</v>
      </c>
      <c r="M41" s="135">
        <f t="shared" si="4"/>
        <v>99.99999999999997</v>
      </c>
      <c r="N41" s="135">
        <f t="shared" si="4"/>
        <v>100</v>
      </c>
      <c r="O41" s="135">
        <f t="shared" si="4"/>
        <v>100</v>
      </c>
      <c r="P41" s="135">
        <f t="shared" si="4"/>
        <v>100</v>
      </c>
      <c r="Q41" s="135">
        <f t="shared" si="4"/>
        <v>100</v>
      </c>
      <c r="R41" s="135">
        <f t="shared" si="4"/>
        <v>99.99999999999999</v>
      </c>
      <c r="S41" s="135">
        <f t="shared" si="4"/>
        <v>100</v>
      </c>
      <c r="T41" s="135">
        <f t="shared" si="4"/>
        <v>100</v>
      </c>
      <c r="U41" s="84"/>
      <c r="W41" s="145"/>
    </row>
    <row r="42" spans="1:23" s="75" customFormat="1" ht="12.75">
      <c r="A42" s="97"/>
      <c r="B42" s="71"/>
      <c r="C42" s="71"/>
      <c r="D42" s="71"/>
      <c r="E42" s="114"/>
      <c r="U42" s="84"/>
      <c r="W42" s="145"/>
    </row>
    <row r="43" spans="2:23" s="75" customFormat="1" ht="12.75">
      <c r="B43" s="97" t="s">
        <v>335</v>
      </c>
      <c r="C43" s="78"/>
      <c r="D43" s="113"/>
      <c r="E43" s="114"/>
      <c r="U43" s="84"/>
      <c r="W43" s="145"/>
    </row>
    <row r="44" spans="1:23" s="75" customFormat="1" ht="12.75">
      <c r="A44" s="97" t="s">
        <v>334</v>
      </c>
      <c r="B44" s="97" t="s">
        <v>306</v>
      </c>
      <c r="C44" s="78"/>
      <c r="D44" s="113"/>
      <c r="E44" s="98">
        <v>892.2929767365334</v>
      </c>
      <c r="F44" s="99">
        <v>915.6161159589599</v>
      </c>
      <c r="G44" s="99">
        <v>909.5592355008</v>
      </c>
      <c r="H44" s="99">
        <v>897</v>
      </c>
      <c r="I44" s="138">
        <v>900.588</v>
      </c>
      <c r="J44" s="138">
        <v>905.9915279999998</v>
      </c>
      <c r="K44" s="138">
        <v>917.8479659303264</v>
      </c>
      <c r="L44" s="138">
        <v>930.9809139976455</v>
      </c>
      <c r="M44" s="138">
        <v>942.2453693315732</v>
      </c>
      <c r="N44" s="138">
        <v>952.7210159900302</v>
      </c>
      <c r="O44" s="138">
        <v>963.2842221825541</v>
      </c>
      <c r="P44" s="138">
        <v>973.493687615086</v>
      </c>
      <c r="Q44" s="138">
        <v>982.5209538190069</v>
      </c>
      <c r="R44" s="138">
        <v>990.7334227840946</v>
      </c>
      <c r="S44" s="138">
        <v>990.442282392603</v>
      </c>
      <c r="T44" s="138">
        <v>988.8249330480116</v>
      </c>
      <c r="W44" s="145"/>
    </row>
    <row r="45" spans="1:23" s="75" customFormat="1" ht="12.75">
      <c r="A45" s="97" t="s">
        <v>334</v>
      </c>
      <c r="B45" s="119" t="s">
        <v>307</v>
      </c>
      <c r="C45" s="78"/>
      <c r="D45" s="113"/>
      <c r="E45" s="109">
        <v>0.4369061607410544</v>
      </c>
      <c r="F45" s="110">
        <v>1.6495282686564678</v>
      </c>
      <c r="G45" s="110">
        <v>-0.661508721022912</v>
      </c>
      <c r="H45" s="110">
        <v>-1.3808045711156893</v>
      </c>
      <c r="I45" s="116">
        <v>0.4000000000000057</v>
      </c>
      <c r="J45" s="116">
        <v>0.5999999999999801</v>
      </c>
      <c r="K45" s="116">
        <v>1.3086698455668824</v>
      </c>
      <c r="L45" s="116">
        <v>1.4308413326391758</v>
      </c>
      <c r="M45" s="116">
        <v>1.2099555602657688</v>
      </c>
      <c r="N45" s="116">
        <v>1.111774809345917</v>
      </c>
      <c r="O45" s="116">
        <v>1.1087407557129438</v>
      </c>
      <c r="P45" s="116">
        <v>1.0598601323916341</v>
      </c>
      <c r="Q45" s="116">
        <v>0.9273060851618311</v>
      </c>
      <c r="R45" s="116">
        <v>0.8358568774707891</v>
      </c>
      <c r="S45" s="116">
        <v>-0.02938635003081913</v>
      </c>
      <c r="T45" s="116">
        <v>-0.1632956683436788</v>
      </c>
      <c r="W45" s="145"/>
    </row>
    <row r="46" spans="1:23" s="75" customFormat="1" ht="12.75">
      <c r="A46" s="97" t="s">
        <v>334</v>
      </c>
      <c r="B46" s="126" t="s">
        <v>308</v>
      </c>
      <c r="C46" s="87"/>
      <c r="D46" s="87"/>
      <c r="E46" s="127">
        <v>62.85671054328099</v>
      </c>
      <c r="F46" s="128">
        <v>63.867648359062265</v>
      </c>
      <c r="G46" s="128">
        <v>63.427483860017816</v>
      </c>
      <c r="H46" s="128">
        <v>62.5008008360016</v>
      </c>
      <c r="I46" s="131">
        <v>62.76197594535573</v>
      </c>
      <c r="J46" s="131">
        <v>63.22856081076849</v>
      </c>
      <c r="K46" s="131">
        <v>64.11500840801189</v>
      </c>
      <c r="L46" s="131">
        <v>65.15918450940201</v>
      </c>
      <c r="M46" s="131">
        <v>66.13264163781521</v>
      </c>
      <c r="N46" s="131">
        <v>67.01146449554045</v>
      </c>
      <c r="O46" s="131">
        <v>67.78832839246067</v>
      </c>
      <c r="P46" s="131">
        <v>68.60029881563702</v>
      </c>
      <c r="Q46" s="131">
        <v>69.52404695902878</v>
      </c>
      <c r="R46" s="131">
        <v>70.484299362733</v>
      </c>
      <c r="S46" s="131">
        <v>70.8783809838221</v>
      </c>
      <c r="T46" s="131">
        <v>71.25537963308086</v>
      </c>
      <c r="W46" s="145"/>
    </row>
    <row r="47" spans="1:23" s="75" customFormat="1" ht="12.75">
      <c r="A47" s="97" t="s">
        <v>334</v>
      </c>
      <c r="B47" s="117" t="s">
        <v>309</v>
      </c>
      <c r="C47" s="78"/>
      <c r="D47" s="113"/>
      <c r="E47" s="109">
        <v>67.0993855414314</v>
      </c>
      <c r="F47" s="110">
        <v>68.68727793142732</v>
      </c>
      <c r="G47" s="110">
        <v>68.1063389741228</v>
      </c>
      <c r="H47" s="110">
        <v>66.54500747809632</v>
      </c>
      <c r="I47" s="139">
        <v>66.81355660759209</v>
      </c>
      <c r="J47" s="139">
        <v>67.2890613229946</v>
      </c>
      <c r="K47" s="139">
        <v>69.32503410463093</v>
      </c>
      <c r="L47" s="139">
        <v>70.33466907159084</v>
      </c>
      <c r="M47" s="139">
        <v>71.21670169567942</v>
      </c>
      <c r="N47" s="139">
        <v>72.01020478143465</v>
      </c>
      <c r="O47" s="139">
        <v>72.73413372786219</v>
      </c>
      <c r="P47" s="139">
        <v>73.51410930238261</v>
      </c>
      <c r="Q47" s="139">
        <v>74.56888970618282</v>
      </c>
      <c r="R47" s="139">
        <v>75.89704759349075</v>
      </c>
      <c r="S47" s="139">
        <v>76.1499594282733</v>
      </c>
      <c r="T47" s="139">
        <v>76.405488039126</v>
      </c>
      <c r="W47" s="145"/>
    </row>
    <row r="48" spans="1:23" s="75" customFormat="1" ht="12.75">
      <c r="A48" s="97" t="s">
        <v>334</v>
      </c>
      <c r="B48" s="117" t="s">
        <v>310</v>
      </c>
      <c r="C48" s="78"/>
      <c r="D48" s="113"/>
      <c r="E48" s="109">
        <v>58.525594728541726</v>
      </c>
      <c r="F48" s="110">
        <v>58.89746164192172</v>
      </c>
      <c r="G48" s="110">
        <v>58.59605568627894</v>
      </c>
      <c r="H48" s="110">
        <v>58.3168400724136</v>
      </c>
      <c r="I48" s="139">
        <v>58.57667501942751</v>
      </c>
      <c r="J48" s="139">
        <v>59.03344754478033</v>
      </c>
      <c r="K48" s="139">
        <v>58.73310417507968</v>
      </c>
      <c r="L48" s="139">
        <v>59.811494384483325</v>
      </c>
      <c r="M48" s="139">
        <v>60.87635621766176</v>
      </c>
      <c r="N48" s="139">
        <v>61.843492715991104</v>
      </c>
      <c r="O48" s="139">
        <v>62.678331141414965</v>
      </c>
      <c r="P48" s="139">
        <v>63.52468594122574</v>
      </c>
      <c r="Q48" s="139">
        <v>64.31397152529767</v>
      </c>
      <c r="R48" s="139">
        <v>64.89620222815404</v>
      </c>
      <c r="S48" s="139">
        <v>65.43806422484732</v>
      </c>
      <c r="T48" s="139">
        <v>65.94375561131176</v>
      </c>
      <c r="W48" s="145"/>
    </row>
    <row r="49" spans="1:23" s="75" customFormat="1" ht="12.75">
      <c r="A49" s="97" t="s">
        <v>334</v>
      </c>
      <c r="B49" s="117" t="s">
        <v>311</v>
      </c>
      <c r="C49" s="78"/>
      <c r="D49" s="113"/>
      <c r="E49" s="109">
        <v>35.48737605633393</v>
      </c>
      <c r="F49" s="110">
        <v>31.854491483299146</v>
      </c>
      <c r="G49" s="110">
        <v>31.268432385568197</v>
      </c>
      <c r="H49" s="110">
        <v>29.147280126952598</v>
      </c>
      <c r="I49" s="116">
        <v>29.099164307094373</v>
      </c>
      <c r="J49" s="116">
        <v>30.046862428249497</v>
      </c>
      <c r="K49" s="116">
        <v>29.06894354734633</v>
      </c>
      <c r="L49" s="116">
        <v>29.221540150550563</v>
      </c>
      <c r="M49" s="116">
        <v>29.407227009809915</v>
      </c>
      <c r="N49" s="116">
        <v>29.48475836226197</v>
      </c>
      <c r="O49" s="116">
        <v>29.404320078895623</v>
      </c>
      <c r="P49" s="116">
        <v>29.52093195261139</v>
      </c>
      <c r="Q49" s="116">
        <v>29.699039037942267</v>
      </c>
      <c r="R49" s="116">
        <v>29.573241986509082</v>
      </c>
      <c r="S49" s="116">
        <v>29.128712071080848</v>
      </c>
      <c r="T49" s="116">
        <v>28.811857181665154</v>
      </c>
      <c r="W49" s="145"/>
    </row>
    <row r="50" spans="1:23" s="75" customFormat="1" ht="12.75">
      <c r="A50" s="97" t="s">
        <v>334</v>
      </c>
      <c r="B50" s="117" t="s">
        <v>312</v>
      </c>
      <c r="C50" s="78"/>
      <c r="D50" s="113"/>
      <c r="E50" s="109">
        <v>81.82895645010166</v>
      </c>
      <c r="F50" s="110">
        <v>82.95401681698031</v>
      </c>
      <c r="G50" s="110">
        <v>82.4881623881459</v>
      </c>
      <c r="H50" s="110">
        <v>81.75164711702725</v>
      </c>
      <c r="I50" s="116">
        <v>81.99354584001397</v>
      </c>
      <c r="J50" s="116">
        <v>82.41972853729415</v>
      </c>
      <c r="K50" s="116">
        <v>83.31019049489659</v>
      </c>
      <c r="L50" s="116">
        <v>84.12793664330164</v>
      </c>
      <c r="M50" s="116">
        <v>84.87681690374617</v>
      </c>
      <c r="N50" s="116">
        <v>85.56790865878315</v>
      </c>
      <c r="O50" s="116">
        <v>86.21010380955059</v>
      </c>
      <c r="P50" s="116">
        <v>86.80454916953019</v>
      </c>
      <c r="Q50" s="116">
        <v>87.34826451695284</v>
      </c>
      <c r="R50" s="116">
        <v>87.84601514380627</v>
      </c>
      <c r="S50" s="116">
        <v>87.9189926710968</v>
      </c>
      <c r="T50" s="116">
        <v>87.99393248914016</v>
      </c>
      <c r="W50" s="145"/>
    </row>
    <row r="51" spans="1:23" s="75" customFormat="1" ht="12.75" customHeight="1">
      <c r="A51" s="97" t="s">
        <v>334</v>
      </c>
      <c r="B51" s="117" t="s">
        <v>313</v>
      </c>
      <c r="C51" s="78"/>
      <c r="D51" s="113"/>
      <c r="E51" s="109">
        <v>23.098329990766427</v>
      </c>
      <c r="F51" s="110">
        <v>25.018693646839935</v>
      </c>
      <c r="G51" s="110">
        <v>24.376991447020497</v>
      </c>
      <c r="H51" s="110">
        <v>24.085388771114317</v>
      </c>
      <c r="I51" s="116">
        <v>24.32324874629177</v>
      </c>
      <c r="J51" s="116">
        <v>24.268089435942798</v>
      </c>
      <c r="K51" s="116">
        <v>27.3518638637593</v>
      </c>
      <c r="L51" s="116">
        <v>30.329041495102224</v>
      </c>
      <c r="M51" s="116">
        <v>33.22303508735547</v>
      </c>
      <c r="N51" s="116">
        <v>36.057708918490256</v>
      </c>
      <c r="O51" s="116">
        <v>38.857961698696755</v>
      </c>
      <c r="P51" s="116">
        <v>41.650365060154506</v>
      </c>
      <c r="Q51" s="116">
        <v>44.463876444985885</v>
      </c>
      <c r="R51" s="116">
        <v>47.33064800339336</v>
      </c>
      <c r="S51" s="116">
        <v>48.964350340346954</v>
      </c>
      <c r="T51" s="116">
        <v>50.54796141334868</v>
      </c>
      <c r="W51" s="145"/>
    </row>
    <row r="52" spans="1:23" s="75" customFormat="1" ht="12.75">
      <c r="A52" s="97" t="s">
        <v>334</v>
      </c>
      <c r="B52" s="117" t="s">
        <v>314</v>
      </c>
      <c r="C52" s="78"/>
      <c r="D52" s="113"/>
      <c r="E52" s="109">
        <v>8.120812165136272</v>
      </c>
      <c r="F52" s="110">
        <v>8.198935128476013</v>
      </c>
      <c r="G52" s="110">
        <v>7.2</v>
      </c>
      <c r="H52" s="110">
        <v>6.394227695082839</v>
      </c>
      <c r="I52" s="116">
        <v>6.133658227757972</v>
      </c>
      <c r="J52" s="116">
        <v>5.684820337655319</v>
      </c>
      <c r="K52" s="116">
        <v>5.594334126307126</v>
      </c>
      <c r="L52" s="116">
        <v>5.5052881987247915</v>
      </c>
      <c r="M52" s="116">
        <v>5.417659629676999</v>
      </c>
      <c r="N52" s="116">
        <v>5.331425858837071</v>
      </c>
      <c r="O52" s="116">
        <v>5.246564684974728</v>
      </c>
      <c r="P52" s="116">
        <v>5.163054260240286</v>
      </c>
      <c r="Q52" s="116">
        <v>5.080873084539844</v>
      </c>
      <c r="R52" s="116">
        <v>5</v>
      </c>
      <c r="S52" s="116">
        <v>5</v>
      </c>
      <c r="T52" s="116">
        <v>5</v>
      </c>
      <c r="W52" s="145"/>
    </row>
    <row r="53" spans="1:23" s="75" customFormat="1" ht="12.75">
      <c r="A53" s="97" t="s">
        <v>334</v>
      </c>
      <c r="B53" s="117"/>
      <c r="C53" s="78"/>
      <c r="D53" s="113"/>
      <c r="E53" s="83"/>
      <c r="I53" s="123"/>
      <c r="J53" s="123"/>
      <c r="K53" s="123"/>
      <c r="L53" s="123"/>
      <c r="M53" s="123"/>
      <c r="N53" s="123"/>
      <c r="O53" s="123"/>
      <c r="P53" s="123"/>
      <c r="Q53" s="123"/>
      <c r="R53" s="123"/>
      <c r="S53" s="123"/>
      <c r="T53" s="123"/>
      <c r="W53" s="145"/>
    </row>
    <row r="54" spans="1:23" s="75" customFormat="1" ht="12.75">
      <c r="A54" s="97" t="s">
        <v>334</v>
      </c>
      <c r="B54" s="97" t="s">
        <v>315</v>
      </c>
      <c r="C54" s="78"/>
      <c r="D54" s="113"/>
      <c r="E54" s="98">
        <v>71.56928275284302</v>
      </c>
      <c r="F54" s="99">
        <v>62.60623015104</v>
      </c>
      <c r="G54" s="99">
        <v>61.67326369920001</v>
      </c>
      <c r="H54" s="99">
        <v>64</v>
      </c>
      <c r="I54" s="138">
        <v>63.43240518120244</v>
      </c>
      <c r="J54" s="138">
        <v>61.35450041376652</v>
      </c>
      <c r="K54" s="138">
        <v>57.12932480478431</v>
      </c>
      <c r="L54" s="138">
        <v>53.18529540270412</v>
      </c>
      <c r="M54" s="138">
        <v>49.49893156792257</v>
      </c>
      <c r="N54" s="138">
        <v>46.11626348858613</v>
      </c>
      <c r="O54" s="138">
        <v>43.01145676963175</v>
      </c>
      <c r="P54" s="138">
        <v>40.12661039208241</v>
      </c>
      <c r="Q54" s="138">
        <v>37.43904698796982</v>
      </c>
      <c r="R54" s="138">
        <v>34.95686775166738</v>
      </c>
      <c r="S54" s="138">
        <v>34.63404829932176</v>
      </c>
      <c r="T54" s="138">
        <v>34.30279059319508</v>
      </c>
      <c r="W54" s="145"/>
    </row>
    <row r="55" spans="1:23" s="75" customFormat="1" ht="12.75">
      <c r="A55" s="97" t="s">
        <v>334</v>
      </c>
      <c r="B55" s="129" t="s">
        <v>316</v>
      </c>
      <c r="C55" s="78"/>
      <c r="D55" s="113"/>
      <c r="E55" s="127">
        <v>7.424166666666667</v>
      </c>
      <c r="F55" s="128">
        <v>6.4</v>
      </c>
      <c r="G55" s="128">
        <v>6.35</v>
      </c>
      <c r="H55" s="128">
        <v>6.7</v>
      </c>
      <c r="I55" s="131">
        <v>6.579985738920055</v>
      </c>
      <c r="J55" s="131">
        <v>6.342559809169253</v>
      </c>
      <c r="K55" s="131">
        <v>5.859554406822142</v>
      </c>
      <c r="L55" s="131">
        <v>5.404096878626813</v>
      </c>
      <c r="M55" s="131">
        <v>4.991098161393804</v>
      </c>
      <c r="N55" s="131">
        <v>4.616994623254189</v>
      </c>
      <c r="O55" s="131">
        <v>4.274236456467527</v>
      </c>
      <c r="P55" s="131">
        <v>3.9587417962104223</v>
      </c>
      <c r="Q55" s="131">
        <v>3.6706387464556083</v>
      </c>
      <c r="R55" s="131">
        <v>3.408130902107683</v>
      </c>
      <c r="S55" s="131">
        <v>3.3786799345902208</v>
      </c>
      <c r="T55" s="131">
        <v>3.3527378645468584</v>
      </c>
      <c r="W55" s="145"/>
    </row>
    <row r="56" spans="1:23" s="75" customFormat="1" ht="12.75">
      <c r="A56" s="97" t="s">
        <v>334</v>
      </c>
      <c r="B56" s="117" t="s">
        <v>309</v>
      </c>
      <c r="C56" s="78"/>
      <c r="D56" s="113"/>
      <c r="E56" s="109">
        <v>7.364299999999999</v>
      </c>
      <c r="F56" s="110">
        <v>5.9</v>
      </c>
      <c r="G56" s="110">
        <v>5.945</v>
      </c>
      <c r="H56" s="110">
        <v>6.366416646056681</v>
      </c>
      <c r="I56" s="139">
        <v>6.347745207709712</v>
      </c>
      <c r="J56" s="139">
        <v>6.162898563704037</v>
      </c>
      <c r="K56" s="139">
        <v>5.608690000890878</v>
      </c>
      <c r="L56" s="139">
        <v>5.181464819188097</v>
      </c>
      <c r="M56" s="139">
        <v>4.798818361521816</v>
      </c>
      <c r="N56" s="139">
        <v>4.453890381202748</v>
      </c>
      <c r="O56" s="139">
        <v>4.138640589032174</v>
      </c>
      <c r="P56" s="139">
        <v>3.8479739494464757</v>
      </c>
      <c r="Q56" s="139">
        <v>3.5749835917974786</v>
      </c>
      <c r="R56" s="139">
        <v>3.316789346980692</v>
      </c>
      <c r="S56" s="139">
        <v>3.2976803472664753</v>
      </c>
      <c r="T56" s="139">
        <v>3.281014843750971</v>
      </c>
      <c r="W56" s="145"/>
    </row>
    <row r="57" spans="1:23" s="75" customFormat="1" ht="12.75">
      <c r="A57" s="97" t="s">
        <v>334</v>
      </c>
      <c r="B57" s="117" t="s">
        <v>310</v>
      </c>
      <c r="C57" s="78"/>
      <c r="D57" s="113"/>
      <c r="E57" s="109">
        <v>7.495924652196714</v>
      </c>
      <c r="F57" s="110">
        <v>6.992371145616684</v>
      </c>
      <c r="G57" s="110">
        <v>6.828389800554621</v>
      </c>
      <c r="H57" s="110">
        <v>7.003196032925439</v>
      </c>
      <c r="I57" s="139">
        <v>6.849893432090217</v>
      </c>
      <c r="J57" s="139">
        <v>6.550127742374926</v>
      </c>
      <c r="K57" s="139">
        <v>6.159129096489135</v>
      </c>
      <c r="L57" s="139">
        <v>5.669429117092218</v>
      </c>
      <c r="M57" s="139">
        <v>5.219536992569954</v>
      </c>
      <c r="N57" s="139">
        <v>4.810140658888797</v>
      </c>
      <c r="O57" s="139">
        <v>4.434392010705458</v>
      </c>
      <c r="P57" s="139">
        <v>4.0893510822284025</v>
      </c>
      <c r="Q57" s="139">
        <v>3.7837283823412844</v>
      </c>
      <c r="R57" s="139">
        <v>3.5170806599908664</v>
      </c>
      <c r="S57" s="139">
        <v>3.4748134745346415</v>
      </c>
      <c r="T57" s="139">
        <v>3.4374677130812312</v>
      </c>
      <c r="W57" s="145"/>
    </row>
    <row r="58" spans="1:23" s="75" customFormat="1" ht="12.75">
      <c r="A58" s="97" t="s">
        <v>334</v>
      </c>
      <c r="B58" s="117" t="s">
        <v>317</v>
      </c>
      <c r="C58" s="78"/>
      <c r="D58" s="113"/>
      <c r="E58" s="109">
        <v>18.008194510135393</v>
      </c>
      <c r="F58" s="110">
        <v>18.015093735358846</v>
      </c>
      <c r="G58" s="110">
        <v>16.977907542735824</v>
      </c>
      <c r="H58" s="110">
        <v>18.6221536184714</v>
      </c>
      <c r="I58" s="116">
        <v>18.54216547104019</v>
      </c>
      <c r="J58" s="116">
        <v>17.842462005040677</v>
      </c>
      <c r="K58" s="116">
        <v>16.92283944773321</v>
      </c>
      <c r="L58" s="116">
        <v>15.531906671175596</v>
      </c>
      <c r="M58" s="116">
        <v>14.222300457268155</v>
      </c>
      <c r="N58" s="116">
        <v>13.04805038146345</v>
      </c>
      <c r="O58" s="116">
        <v>12.013830210483963</v>
      </c>
      <c r="P58" s="116">
        <v>10.98557720503757</v>
      </c>
      <c r="Q58" s="116">
        <v>10.016736560631323</v>
      </c>
      <c r="R58" s="116">
        <v>9.210013548060445</v>
      </c>
      <c r="S58" s="116">
        <v>9.33744245135898</v>
      </c>
      <c r="T58" s="116">
        <v>9.430445958776208</v>
      </c>
      <c r="W58" s="145"/>
    </row>
    <row r="59" spans="1:23" s="75" customFormat="1" ht="12.75">
      <c r="A59" s="97" t="s">
        <v>334</v>
      </c>
      <c r="B59" s="117" t="s">
        <v>318</v>
      </c>
      <c r="C59" s="78"/>
      <c r="D59" s="113"/>
      <c r="E59" s="109">
        <v>6.115916680262651</v>
      </c>
      <c r="F59" s="110">
        <v>5.167316460909531</v>
      </c>
      <c r="G59" s="110">
        <v>5.287815904835711</v>
      </c>
      <c r="H59" s="110">
        <v>5.51471006237921</v>
      </c>
      <c r="I59" s="116">
        <v>5.4771347404186095</v>
      </c>
      <c r="J59" s="116">
        <v>5.277546613555668</v>
      </c>
      <c r="K59" s="116">
        <v>4.966797171444871</v>
      </c>
      <c r="L59" s="116">
        <v>4.677802295483933</v>
      </c>
      <c r="M59" s="116">
        <v>4.408657854090664</v>
      </c>
      <c r="N59" s="116">
        <v>4.157323340097293</v>
      </c>
      <c r="O59" s="116">
        <v>3.922111501163715</v>
      </c>
      <c r="P59" s="116">
        <v>3.701851329138101</v>
      </c>
      <c r="Q59" s="116">
        <v>3.49562712025187</v>
      </c>
      <c r="R59" s="116">
        <v>3.3022912400187265</v>
      </c>
      <c r="S59" s="116">
        <v>3.2996406051842473</v>
      </c>
      <c r="T59" s="116">
        <v>3.2969231221631623</v>
      </c>
      <c r="W59" s="145"/>
    </row>
    <row r="60" spans="1:23" s="75" customFormat="1" ht="12.75">
      <c r="A60" s="97" t="s">
        <v>334</v>
      </c>
      <c r="B60" s="117" t="s">
        <v>319</v>
      </c>
      <c r="C60" s="78"/>
      <c r="D60" s="113"/>
      <c r="E60" s="109">
        <v>3.3469343752075673</v>
      </c>
      <c r="F60" s="110">
        <v>3.3158205107707714</v>
      </c>
      <c r="G60" s="110">
        <v>3.4792628374414827</v>
      </c>
      <c r="H60" s="110">
        <v>3.667351857490772</v>
      </c>
      <c r="I60" s="116">
        <v>3.6564776072407343</v>
      </c>
      <c r="J60" s="116">
        <v>3.6909803020632244</v>
      </c>
      <c r="K60" s="116">
        <v>3.214068449646437</v>
      </c>
      <c r="L60" s="116">
        <v>2.841650855799565</v>
      </c>
      <c r="M60" s="116">
        <v>2.541266405325025</v>
      </c>
      <c r="N60" s="116">
        <v>2.292544492270517</v>
      </c>
      <c r="O60" s="116">
        <v>2.08204437276615</v>
      </c>
      <c r="P60" s="116">
        <v>1.9005310312616048</v>
      </c>
      <c r="Q60" s="116">
        <v>1.74144448806665</v>
      </c>
      <c r="R60" s="116">
        <v>1.5999953204704633</v>
      </c>
      <c r="S60" s="116">
        <v>1.5474373397639245</v>
      </c>
      <c r="T60" s="116">
        <v>1.499684898782663</v>
      </c>
      <c r="W60" s="145"/>
    </row>
    <row r="61" spans="1:23" s="75" customFormat="1" ht="12.75">
      <c r="A61" s="97" t="s">
        <v>334</v>
      </c>
      <c r="B61" s="117"/>
      <c r="C61" s="78"/>
      <c r="D61" s="113"/>
      <c r="E61" s="83"/>
      <c r="I61" s="123"/>
      <c r="J61" s="123"/>
      <c r="K61" s="123"/>
      <c r="L61" s="123"/>
      <c r="M61" s="123"/>
      <c r="N61" s="123"/>
      <c r="O61" s="123"/>
      <c r="P61" s="123"/>
      <c r="Q61" s="123"/>
      <c r="R61" s="123"/>
      <c r="S61" s="123"/>
      <c r="T61" s="123"/>
      <c r="W61" s="145"/>
    </row>
    <row r="62" spans="1:23" s="75" customFormat="1" ht="12.75">
      <c r="A62" s="97" t="s">
        <v>334</v>
      </c>
      <c r="B62" s="126" t="s">
        <v>336</v>
      </c>
      <c r="C62" s="78"/>
      <c r="D62" s="113"/>
      <c r="E62" s="127">
        <v>68.01015413484213</v>
      </c>
      <c r="F62" s="128">
        <v>68.349</v>
      </c>
      <c r="G62" s="128">
        <v>67.83</v>
      </c>
      <c r="H62" s="128">
        <v>67.05666786732746</v>
      </c>
      <c r="I62" s="131">
        <v>67.27538450020413</v>
      </c>
      <c r="J62" s="131">
        <v>67.59459048077612</v>
      </c>
      <c r="K62" s="131">
        <v>68.18312881154725</v>
      </c>
      <c r="L62" s="131">
        <v>68.95288007316539</v>
      </c>
      <c r="M62" s="131">
        <v>69.67260955037705</v>
      </c>
      <c r="N62" s="131">
        <v>70.31574916827914</v>
      </c>
      <c r="O62" s="131">
        <v>70.87036389317453</v>
      </c>
      <c r="P62" s="131">
        <v>71.47847364121421</v>
      </c>
      <c r="Q62" s="131">
        <v>72.22019400894783</v>
      </c>
      <c r="R62" s="131">
        <v>73.01509472035495</v>
      </c>
      <c r="S62" s="131">
        <v>73.40152876744405</v>
      </c>
      <c r="T62" s="131">
        <v>73.77301380886479</v>
      </c>
      <c r="W62" s="145"/>
    </row>
    <row r="63" spans="1:23" s="75" customFormat="1" ht="12.75">
      <c r="A63" s="97" t="s">
        <v>334</v>
      </c>
      <c r="B63" s="117" t="s">
        <v>309</v>
      </c>
      <c r="C63" s="78"/>
      <c r="D63" s="113"/>
      <c r="E63" s="109">
        <v>72.55480698600222</v>
      </c>
      <c r="F63" s="110">
        <v>73.1</v>
      </c>
      <c r="G63" s="110">
        <v>72.5</v>
      </c>
      <c r="H63" s="110">
        <v>71.16477926137021</v>
      </c>
      <c r="I63" s="139">
        <v>71.41950053861882</v>
      </c>
      <c r="J63" s="139">
        <v>71.7641844950352</v>
      </c>
      <c r="K63" s="139">
        <v>73.49589420359439</v>
      </c>
      <c r="L63" s="139">
        <v>74.22668333848014</v>
      </c>
      <c r="M63" s="139">
        <v>74.85226591162466</v>
      </c>
      <c r="N63" s="139">
        <v>75.40996735476062</v>
      </c>
      <c r="O63" s="139">
        <v>75.91428692254226</v>
      </c>
      <c r="P63" s="139">
        <v>76.49346240461564</v>
      </c>
      <c r="Q63" s="139">
        <v>77.36897545819411</v>
      </c>
      <c r="R63" s="139">
        <v>78.53450175963454</v>
      </c>
      <c r="S63" s="139">
        <v>78.78156904453412</v>
      </c>
      <c r="T63" s="139">
        <v>79.0335185362778</v>
      </c>
      <c r="W63" s="145"/>
    </row>
    <row r="64" spans="1:23" s="75" customFormat="1" ht="12.75">
      <c r="A64" s="97" t="s">
        <v>334</v>
      </c>
      <c r="B64" s="117" t="s">
        <v>310</v>
      </c>
      <c r="C64" s="78"/>
      <c r="D64" s="113"/>
      <c r="E64" s="109">
        <v>63.371986266166566</v>
      </c>
      <c r="F64" s="110">
        <v>63.44958672796559</v>
      </c>
      <c r="G64" s="110">
        <v>63.00771569729903</v>
      </c>
      <c r="H64" s="110">
        <v>62.80659401941422</v>
      </c>
      <c r="I64" s="139">
        <v>62.99449411724991</v>
      </c>
      <c r="J64" s="139">
        <v>63.28676707074697</v>
      </c>
      <c r="K64" s="139">
        <v>62.69509550480385</v>
      </c>
      <c r="L64" s="139">
        <v>63.50359985528371</v>
      </c>
      <c r="M64" s="139">
        <v>64.317489448891</v>
      </c>
      <c r="N64" s="139">
        <v>65.0490671002201</v>
      </c>
      <c r="O64" s="139">
        <v>65.65899161572867</v>
      </c>
      <c r="P64" s="139">
        <v>66.29835088287669</v>
      </c>
      <c r="Q64" s="139">
        <v>66.90277559040508</v>
      </c>
      <c r="R64" s="139">
        <v>67.31688350751689</v>
      </c>
      <c r="S64" s="139">
        <v>67.84927841362057</v>
      </c>
      <c r="T64" s="139">
        <v>68.34753126097142</v>
      </c>
      <c r="W64" s="145"/>
    </row>
    <row r="65" spans="1:5" ht="12.75">
      <c r="A65" s="97" t="s">
        <v>334</v>
      </c>
      <c r="E65" s="109"/>
    </row>
    <row r="66" spans="1:5" ht="12.75">
      <c r="A66" s="97" t="s">
        <v>334</v>
      </c>
      <c r="B66" s="132" t="s">
        <v>321</v>
      </c>
      <c r="E66" s="109"/>
    </row>
    <row r="67" spans="1:20" ht="12.75">
      <c r="A67" s="97" t="s">
        <v>334</v>
      </c>
      <c r="B67" s="133" t="s">
        <v>322</v>
      </c>
      <c r="E67" s="109">
        <v>3.2204147818644002</v>
      </c>
      <c r="F67" s="134">
        <v>2.2900763358778624</v>
      </c>
      <c r="G67" s="134">
        <v>1.9780219780219779</v>
      </c>
      <c r="H67" s="134">
        <v>1.899441340782123</v>
      </c>
      <c r="I67" s="135">
        <v>1.9013048605853469</v>
      </c>
      <c r="J67" s="135">
        <v>1.854963677193016</v>
      </c>
      <c r="K67" s="135">
        <v>1.7666706031000174</v>
      </c>
      <c r="L67" s="135">
        <v>1.6353338463052722</v>
      </c>
      <c r="M67" s="135">
        <v>1.4587992488584347</v>
      </c>
      <c r="N67" s="135">
        <v>1.2565332337919872</v>
      </c>
      <c r="O67" s="135">
        <v>1.0472963710245757</v>
      </c>
      <c r="P67" s="135">
        <v>0.8497244319371662</v>
      </c>
      <c r="Q67" s="135">
        <v>0.721054368877666</v>
      </c>
      <c r="R67" s="135">
        <v>0.6524684105419218</v>
      </c>
      <c r="S67" s="135">
        <v>0.6154978074325324</v>
      </c>
      <c r="T67" s="135">
        <v>0.6005045032049098</v>
      </c>
    </row>
    <row r="68" spans="1:20" ht="12.75">
      <c r="A68" s="97" t="s">
        <v>334</v>
      </c>
      <c r="B68" s="133" t="s">
        <v>323</v>
      </c>
      <c r="E68" s="109">
        <v>19.417141055140167</v>
      </c>
      <c r="F68" s="134">
        <v>17.77535441657579</v>
      </c>
      <c r="G68" s="134">
        <v>16.373626373626372</v>
      </c>
      <c r="H68" s="134">
        <v>15.083798882681565</v>
      </c>
      <c r="I68" s="135">
        <v>14.918813293099426</v>
      </c>
      <c r="J68" s="135">
        <v>14.55759195055718</v>
      </c>
      <c r="K68" s="135">
        <v>14.033477174246158</v>
      </c>
      <c r="L68" s="135">
        <v>13.5004073287359</v>
      </c>
      <c r="M68" s="135">
        <v>12.887146592356084</v>
      </c>
      <c r="N68" s="135">
        <v>12.067543943223896</v>
      </c>
      <c r="O68" s="135">
        <v>10.838924358337806</v>
      </c>
      <c r="P68" s="135">
        <v>9.693065345905907</v>
      </c>
      <c r="Q68" s="135">
        <v>8.890114548947338</v>
      </c>
      <c r="R68" s="135">
        <v>8.386808881519414</v>
      </c>
      <c r="S68" s="135">
        <v>8.097659773399997</v>
      </c>
      <c r="T68" s="135">
        <v>7.939620578737944</v>
      </c>
    </row>
    <row r="69" spans="1:20" ht="12.75">
      <c r="A69" s="97" t="s">
        <v>334</v>
      </c>
      <c r="B69" s="133" t="s">
        <v>324</v>
      </c>
      <c r="E69" s="109">
        <v>2.9125013516157723</v>
      </c>
      <c r="F69" s="134">
        <v>2.4186010281975383</v>
      </c>
      <c r="G69" s="134">
        <v>2.392072213500785</v>
      </c>
      <c r="H69" s="134">
        <v>2.4229848363926574</v>
      </c>
      <c r="I69" s="135">
        <v>2.1544971840902245</v>
      </c>
      <c r="J69" s="135">
        <v>1.7861736141669768</v>
      </c>
      <c r="K69" s="135">
        <v>1.4065926000433409</v>
      </c>
      <c r="L69" s="135">
        <v>1.0154923252000445</v>
      </c>
      <c r="M69" s="135">
        <v>0.580389990390767</v>
      </c>
      <c r="N69" s="135">
        <v>0.2</v>
      </c>
      <c r="O69" s="135">
        <v>0.2</v>
      </c>
      <c r="P69" s="135">
        <v>0.2</v>
      </c>
      <c r="Q69" s="135">
        <v>0.2</v>
      </c>
      <c r="R69" s="135">
        <v>0.2</v>
      </c>
      <c r="S69" s="135">
        <v>0.2</v>
      </c>
      <c r="T69" s="135">
        <v>0.2</v>
      </c>
    </row>
    <row r="70" spans="1:20" ht="12.75">
      <c r="A70" s="97" t="s">
        <v>334</v>
      </c>
      <c r="B70" s="133" t="s">
        <v>325</v>
      </c>
      <c r="E70" s="109">
        <v>28.829872830299134</v>
      </c>
      <c r="F70" s="134">
        <v>27.02523757594641</v>
      </c>
      <c r="G70" s="134">
        <v>26.72880690737834</v>
      </c>
      <c r="H70" s="134">
        <v>27.074221867517956</v>
      </c>
      <c r="I70" s="135">
        <v>26.39744049792348</v>
      </c>
      <c r="J70" s="135">
        <v>25.74776025852634</v>
      </c>
      <c r="K70" s="135">
        <v>25.25577626964568</v>
      </c>
      <c r="L70" s="135">
        <v>24.88388536690633</v>
      </c>
      <c r="M70" s="135">
        <v>24.628136757976048</v>
      </c>
      <c r="N70" s="135">
        <v>24.449470175481327</v>
      </c>
      <c r="O70" s="135">
        <v>24.304172049031393</v>
      </c>
      <c r="P70" s="135">
        <v>24.139614353244223</v>
      </c>
      <c r="Q70" s="135">
        <v>23.835832810868443</v>
      </c>
      <c r="R70" s="135">
        <v>23.44668238225794</v>
      </c>
      <c r="S70" s="135">
        <v>23.012210437114696</v>
      </c>
      <c r="T70" s="135">
        <v>22.554887854454527</v>
      </c>
    </row>
    <row r="71" spans="1:20" ht="12.75">
      <c r="A71" s="97" t="s">
        <v>334</v>
      </c>
      <c r="B71" s="133" t="s">
        <v>326</v>
      </c>
      <c r="E71" s="109">
        <v>29.69836071314309</v>
      </c>
      <c r="F71" s="134">
        <v>33.151581243184296</v>
      </c>
      <c r="G71" s="134">
        <v>34.175824175824175</v>
      </c>
      <c r="H71" s="134">
        <v>34.18994413407821</v>
      </c>
      <c r="I71" s="135">
        <v>34.389939617321694</v>
      </c>
      <c r="J71" s="135">
        <v>34.766561443847486</v>
      </c>
      <c r="K71" s="135">
        <v>34.950702550705834</v>
      </c>
      <c r="L71" s="135">
        <v>34.82406129164624</v>
      </c>
      <c r="M71" s="135">
        <v>34.446271587449736</v>
      </c>
      <c r="N71" s="135">
        <v>33.8168044631985</v>
      </c>
      <c r="O71" s="135">
        <v>32.82425468538814</v>
      </c>
      <c r="P71" s="135">
        <v>31.382197001873376</v>
      </c>
      <c r="Q71" s="135">
        <v>29.95561357199562</v>
      </c>
      <c r="R71" s="135">
        <v>28.522447459200244</v>
      </c>
      <c r="S71" s="135">
        <v>27.11370034761384</v>
      </c>
      <c r="T71" s="135">
        <v>25.784417942395834</v>
      </c>
    </row>
    <row r="72" spans="1:20" ht="12.75">
      <c r="A72" s="97" t="s">
        <v>334</v>
      </c>
      <c r="B72" s="133" t="s">
        <v>327</v>
      </c>
      <c r="E72" s="109">
        <v>7.702305821459976</v>
      </c>
      <c r="F72" s="134">
        <v>6.870229007633588</v>
      </c>
      <c r="G72" s="134">
        <v>6.7032967032967035</v>
      </c>
      <c r="H72" s="134">
        <v>6.592178770949721</v>
      </c>
      <c r="I72" s="135">
        <v>6.532092467015305</v>
      </c>
      <c r="J72" s="135">
        <v>6.5334166448238555</v>
      </c>
      <c r="K72" s="135">
        <v>6.644777992934851</v>
      </c>
      <c r="L72" s="135">
        <v>6.878500347222134</v>
      </c>
      <c r="M72" s="135">
        <v>7.264301952789014</v>
      </c>
      <c r="N72" s="135">
        <v>7.833289530711427</v>
      </c>
      <c r="O72" s="135">
        <v>8.608079150023663</v>
      </c>
      <c r="P72" s="135">
        <v>9.606977991776493</v>
      </c>
      <c r="Q72" s="135">
        <v>10.43071113752085</v>
      </c>
      <c r="R72" s="135">
        <v>11.095041367183134</v>
      </c>
      <c r="S72" s="135">
        <v>11.62185529864274</v>
      </c>
      <c r="T72" s="135">
        <v>12.024128771104706</v>
      </c>
    </row>
    <row r="73" spans="1:20" ht="12.75">
      <c r="A73" s="97" t="s">
        <v>334</v>
      </c>
      <c r="B73" s="133" t="s">
        <v>328</v>
      </c>
      <c r="E73" s="109">
        <v>7.341509927414651</v>
      </c>
      <c r="F73" s="134">
        <v>9.487459105779717</v>
      </c>
      <c r="G73" s="134">
        <v>10.659340659340659</v>
      </c>
      <c r="H73" s="134">
        <v>11.508379888268157</v>
      </c>
      <c r="I73" s="135">
        <v>12.330194184913209</v>
      </c>
      <c r="J73" s="135">
        <v>13.205309890030916</v>
      </c>
      <c r="K73" s="135">
        <v>14.184713318635623</v>
      </c>
      <c r="L73" s="135">
        <v>15.254601382940534</v>
      </c>
      <c r="M73" s="135">
        <v>16.42563479539166</v>
      </c>
      <c r="N73" s="135">
        <v>17.70419519617232</v>
      </c>
      <c r="O73" s="135">
        <v>19.072072509432314</v>
      </c>
      <c r="P73" s="135">
        <v>20.50899090619012</v>
      </c>
      <c r="Q73" s="135">
        <v>21.796444416596145</v>
      </c>
      <c r="R73" s="135">
        <v>22.942127464588953</v>
      </c>
      <c r="S73" s="135">
        <v>23.965097186860046</v>
      </c>
      <c r="T73" s="135">
        <v>24.870509020391264</v>
      </c>
    </row>
    <row r="74" spans="1:20" ht="12.75">
      <c r="A74" s="97" t="s">
        <v>334</v>
      </c>
      <c r="B74" s="133" t="s">
        <v>329</v>
      </c>
      <c r="E74" s="109">
        <v>0.877893519062816</v>
      </c>
      <c r="F74" s="134">
        <v>0.9814612868047983</v>
      </c>
      <c r="G74" s="134">
        <v>0.9890109890109889</v>
      </c>
      <c r="H74" s="134">
        <v>1.2290502793296088</v>
      </c>
      <c r="I74" s="135">
        <v>1.3757178950513076</v>
      </c>
      <c r="J74" s="135">
        <v>1.5482225208542304</v>
      </c>
      <c r="K74" s="135">
        <v>1.7572894906884986</v>
      </c>
      <c r="L74" s="135">
        <v>2.0077181110435602</v>
      </c>
      <c r="M74" s="135">
        <v>2.3093190747882835</v>
      </c>
      <c r="N74" s="135">
        <v>2.672163457420542</v>
      </c>
      <c r="O74" s="135">
        <v>3.105200876762107</v>
      </c>
      <c r="P74" s="135">
        <v>3.619429969072728</v>
      </c>
      <c r="Q74" s="135">
        <v>4.1702291451939395</v>
      </c>
      <c r="R74" s="135">
        <v>4.754424034708384</v>
      </c>
      <c r="S74" s="135">
        <v>5.373979148936142</v>
      </c>
      <c r="T74" s="135">
        <v>6.0259313297108115</v>
      </c>
    </row>
    <row r="75" spans="1:20" ht="12.75">
      <c r="A75" s="97" t="s">
        <v>334</v>
      </c>
      <c r="B75" s="136" t="s">
        <v>330</v>
      </c>
      <c r="E75" s="98">
        <v>11.207231065687289</v>
      </c>
      <c r="F75" s="137">
        <v>11.44772438802509</v>
      </c>
      <c r="G75" s="137">
        <v>11.575058748158742</v>
      </c>
      <c r="H75" s="137">
        <v>11.677766909090275</v>
      </c>
      <c r="I75" s="137">
        <v>11.741506883165655</v>
      </c>
      <c r="J75" s="137">
        <v>11.82389437386522</v>
      </c>
      <c r="K75" s="137">
        <v>11.92316604931427</v>
      </c>
      <c r="L75" s="137">
        <v>12.033502039174975</v>
      </c>
      <c r="M75" s="137">
        <v>12.160531326913492</v>
      </c>
      <c r="N75" s="137">
        <v>12.307556911436686</v>
      </c>
      <c r="O75" s="137">
        <v>12.473968862208245</v>
      </c>
      <c r="P75" s="137">
        <v>12.649123535124845</v>
      </c>
      <c r="Q75" s="137">
        <v>12.800287463220332</v>
      </c>
      <c r="R75" s="137">
        <v>12.92961770385746</v>
      </c>
      <c r="S75" s="137">
        <v>13.043383244274104</v>
      </c>
      <c r="T75" s="137">
        <v>13.145628947340843</v>
      </c>
    </row>
    <row r="76" spans="1:20" ht="12.75">
      <c r="A76" s="97" t="s">
        <v>334</v>
      </c>
      <c r="B76" s="133" t="s">
        <v>331</v>
      </c>
      <c r="E76" s="109">
        <f aca="true" t="shared" si="5" ref="E76:T76">SUM(E67:E68)</f>
        <v>22.637555837004566</v>
      </c>
      <c r="F76" s="134">
        <f t="shared" si="5"/>
        <v>20.065430752453654</v>
      </c>
      <c r="G76" s="134">
        <f t="shared" si="5"/>
        <v>18.35164835164835</v>
      </c>
      <c r="H76" s="134">
        <f t="shared" si="5"/>
        <v>16.98324022346369</v>
      </c>
      <c r="I76" s="135">
        <f t="shared" si="5"/>
        <v>16.820118153684774</v>
      </c>
      <c r="J76" s="135">
        <f t="shared" si="5"/>
        <v>16.412555627750194</v>
      </c>
      <c r="K76" s="135">
        <f t="shared" si="5"/>
        <v>15.800147777346176</v>
      </c>
      <c r="L76" s="135">
        <f t="shared" si="5"/>
        <v>15.135741175041172</v>
      </c>
      <c r="M76" s="135">
        <f t="shared" si="5"/>
        <v>14.345945841214519</v>
      </c>
      <c r="N76" s="135">
        <f t="shared" si="5"/>
        <v>13.324077177015884</v>
      </c>
      <c r="O76" s="135">
        <f t="shared" si="5"/>
        <v>11.886220729362382</v>
      </c>
      <c r="P76" s="135">
        <f t="shared" si="5"/>
        <v>10.542789777843073</v>
      </c>
      <c r="Q76" s="135">
        <f t="shared" si="5"/>
        <v>9.611168917825005</v>
      </c>
      <c r="R76" s="135">
        <f t="shared" si="5"/>
        <v>9.039277292061335</v>
      </c>
      <c r="S76" s="135">
        <f t="shared" si="5"/>
        <v>8.71315758083253</v>
      </c>
      <c r="T76" s="135">
        <f t="shared" si="5"/>
        <v>8.540125081942854</v>
      </c>
    </row>
    <row r="77" spans="1:20" ht="12.75">
      <c r="A77" s="97" t="s">
        <v>334</v>
      </c>
      <c r="B77" s="133" t="s">
        <v>332</v>
      </c>
      <c r="E77" s="109">
        <f aca="true" t="shared" si="6" ref="E77:T77">SUM(E69:E71)</f>
        <v>61.440734895058</v>
      </c>
      <c r="F77" s="134">
        <f t="shared" si="6"/>
        <v>62.595419847328245</v>
      </c>
      <c r="G77" s="134">
        <f t="shared" si="6"/>
        <v>63.2967032967033</v>
      </c>
      <c r="H77" s="134">
        <f t="shared" si="6"/>
        <v>63.687150837988824</v>
      </c>
      <c r="I77" s="135">
        <f t="shared" si="6"/>
        <v>62.9418772993354</v>
      </c>
      <c r="J77" s="135">
        <f t="shared" si="6"/>
        <v>62.300495316540804</v>
      </c>
      <c r="K77" s="135">
        <f t="shared" si="6"/>
        <v>61.61307142039485</v>
      </c>
      <c r="L77" s="135">
        <f t="shared" si="6"/>
        <v>60.723438983752615</v>
      </c>
      <c r="M77" s="135">
        <f t="shared" si="6"/>
        <v>59.65479833581655</v>
      </c>
      <c r="N77" s="135">
        <f t="shared" si="6"/>
        <v>58.46627463867983</v>
      </c>
      <c r="O77" s="135">
        <f t="shared" si="6"/>
        <v>57.32842673441954</v>
      </c>
      <c r="P77" s="135">
        <f t="shared" si="6"/>
        <v>55.721811355117595</v>
      </c>
      <c r="Q77" s="135">
        <f t="shared" si="6"/>
        <v>53.99144638286406</v>
      </c>
      <c r="R77" s="135">
        <f t="shared" si="6"/>
        <v>52.16912984145819</v>
      </c>
      <c r="S77" s="135">
        <f t="shared" si="6"/>
        <v>50.325910784728535</v>
      </c>
      <c r="T77" s="135">
        <f t="shared" si="6"/>
        <v>48.53930579685036</v>
      </c>
    </row>
    <row r="78" spans="1:20" ht="12.75">
      <c r="A78" s="97" t="s">
        <v>334</v>
      </c>
      <c r="B78" s="133" t="s">
        <v>333</v>
      </c>
      <c r="E78" s="109">
        <f aca="true" t="shared" si="7" ref="E78:T78">SUM(E72:E74)</f>
        <v>15.921709267937445</v>
      </c>
      <c r="F78" s="134">
        <f t="shared" si="7"/>
        <v>17.3391494002181</v>
      </c>
      <c r="G78" s="134">
        <f t="shared" si="7"/>
        <v>18.35164835164835</v>
      </c>
      <c r="H78" s="134">
        <f t="shared" si="7"/>
        <v>19.329608938547487</v>
      </c>
      <c r="I78" s="135">
        <f t="shared" si="7"/>
        <v>20.238004546979823</v>
      </c>
      <c r="J78" s="135">
        <f t="shared" si="7"/>
        <v>21.286949055709</v>
      </c>
      <c r="K78" s="135">
        <f t="shared" si="7"/>
        <v>22.586780802258975</v>
      </c>
      <c r="L78" s="135">
        <f t="shared" si="7"/>
        <v>24.140819841206227</v>
      </c>
      <c r="M78" s="135">
        <f t="shared" si="7"/>
        <v>25.999255822968955</v>
      </c>
      <c r="N78" s="135">
        <f t="shared" si="7"/>
        <v>28.20964818430429</v>
      </c>
      <c r="O78" s="135">
        <f t="shared" si="7"/>
        <v>30.785352536218085</v>
      </c>
      <c r="P78" s="135">
        <f t="shared" si="7"/>
        <v>33.73539886703934</v>
      </c>
      <c r="Q78" s="135">
        <f t="shared" si="7"/>
        <v>36.39738469931093</v>
      </c>
      <c r="R78" s="135">
        <f t="shared" si="7"/>
        <v>38.79159286648047</v>
      </c>
      <c r="S78" s="135">
        <f t="shared" si="7"/>
        <v>40.96093163443893</v>
      </c>
      <c r="T78" s="135">
        <f t="shared" si="7"/>
        <v>42.92056912120678</v>
      </c>
    </row>
    <row r="79" spans="1:20" ht="12.75">
      <c r="A79" s="97" t="s">
        <v>334</v>
      </c>
      <c r="E79" s="109">
        <f aca="true" t="shared" si="8" ref="E79:T79">SUM(E76:E78)</f>
        <v>100.00000000000001</v>
      </c>
      <c r="F79" s="134">
        <f t="shared" si="8"/>
        <v>100</v>
      </c>
      <c r="G79" s="134">
        <f t="shared" si="8"/>
        <v>100</v>
      </c>
      <c r="H79" s="134">
        <f t="shared" si="8"/>
        <v>100</v>
      </c>
      <c r="I79" s="135">
        <f t="shared" si="8"/>
        <v>100</v>
      </c>
      <c r="J79" s="135">
        <f t="shared" si="8"/>
        <v>100</v>
      </c>
      <c r="K79" s="135">
        <f t="shared" si="8"/>
        <v>100</v>
      </c>
      <c r="L79" s="135">
        <f t="shared" si="8"/>
        <v>100.00000000000001</v>
      </c>
      <c r="M79" s="135">
        <f t="shared" si="8"/>
        <v>100.00000000000003</v>
      </c>
      <c r="N79" s="135">
        <f t="shared" si="8"/>
        <v>100</v>
      </c>
      <c r="O79" s="135">
        <f t="shared" si="8"/>
        <v>100</v>
      </c>
      <c r="P79" s="135">
        <f t="shared" si="8"/>
        <v>100</v>
      </c>
      <c r="Q79" s="135">
        <f t="shared" si="8"/>
        <v>100</v>
      </c>
      <c r="R79" s="135">
        <f t="shared" si="8"/>
        <v>100</v>
      </c>
      <c r="S79" s="135">
        <f t="shared" si="8"/>
        <v>100</v>
      </c>
      <c r="T79" s="135">
        <f t="shared" si="8"/>
        <v>100</v>
      </c>
    </row>
    <row r="81" ht="12.75">
      <c r="B81" t="s">
        <v>297</v>
      </c>
    </row>
    <row r="82" spans="2:23" ht="12.75">
      <c r="B82" s="140"/>
      <c r="C82" s="140"/>
      <c r="D82" s="140"/>
      <c r="E82" s="109"/>
      <c r="G82" s="110" t="s">
        <v>305</v>
      </c>
      <c r="J82" s="110"/>
      <c r="K82" s="110" t="s">
        <v>334</v>
      </c>
      <c r="L82" s="110"/>
      <c r="M82" s="110"/>
      <c r="N82" s="110"/>
      <c r="O82" s="110"/>
      <c r="P82" s="110"/>
      <c r="Q82" s="110"/>
      <c r="T82" s="110"/>
      <c r="U82" s="110"/>
      <c r="V82" s="110"/>
      <c r="W82" s="149"/>
    </row>
    <row r="83" spans="2:24" ht="12.75">
      <c r="B83" s="140"/>
      <c r="C83" s="140"/>
      <c r="D83" s="140"/>
      <c r="E83" s="98" t="s">
        <v>302</v>
      </c>
      <c r="F83" s="69">
        <v>2002</v>
      </c>
      <c r="G83" s="141" t="s">
        <v>303</v>
      </c>
      <c r="H83" s="69">
        <v>2005</v>
      </c>
      <c r="I83" s="69">
        <v>2010</v>
      </c>
      <c r="J83" s="69">
        <v>2013</v>
      </c>
      <c r="K83" s="141" t="s">
        <v>303</v>
      </c>
      <c r="L83" s="69">
        <v>2005</v>
      </c>
      <c r="M83" s="69">
        <v>2010</v>
      </c>
      <c r="N83" s="69">
        <v>2013</v>
      </c>
      <c r="O83" s="69"/>
      <c r="P83" s="69"/>
      <c r="Q83" s="69"/>
      <c r="R83" s="69"/>
      <c r="V83" s="69"/>
      <c r="W83" s="150"/>
      <c r="X83" s="69"/>
    </row>
    <row r="84" spans="2:23" ht="12.75">
      <c r="B84" s="97" t="s">
        <v>306</v>
      </c>
      <c r="C84" s="78"/>
      <c r="D84" s="113"/>
      <c r="E84" s="98">
        <v>892.2929767365334</v>
      </c>
      <c r="F84" s="99">
        <v>909.5592355008</v>
      </c>
      <c r="G84" s="98">
        <v>910.563826123984</v>
      </c>
      <c r="H84" s="99">
        <v>901.8987308926719</v>
      </c>
      <c r="I84" s="99">
        <v>914.2629229243422</v>
      </c>
      <c r="J84" s="99">
        <v>921.7626508851662</v>
      </c>
      <c r="K84" s="98">
        <v>946.0407079650316</v>
      </c>
      <c r="L84" s="99">
        <v>905.9915279999998</v>
      </c>
      <c r="M84" s="99">
        <v>963.2842221825541</v>
      </c>
      <c r="N84" s="99">
        <v>990.7334227840946</v>
      </c>
      <c r="O84" s="99"/>
      <c r="P84" s="99"/>
      <c r="R84" s="99"/>
      <c r="V84" s="99"/>
      <c r="W84" s="150"/>
    </row>
    <row r="85" spans="2:23" ht="12.75">
      <c r="B85" s="119" t="s">
        <v>307</v>
      </c>
      <c r="C85" s="78"/>
      <c r="D85" s="113"/>
      <c r="E85" s="127">
        <v>0.4369061607410544</v>
      </c>
      <c r="F85" s="110">
        <v>-0.661508721022912</v>
      </c>
      <c r="G85" s="127">
        <v>0.27269012315211116</v>
      </c>
      <c r="H85" s="110">
        <v>0.2726901231521168</v>
      </c>
      <c r="I85" s="110">
        <v>0.2726901231521168</v>
      </c>
      <c r="J85" s="110">
        <v>0.2726901231521168</v>
      </c>
      <c r="K85" s="127">
        <v>0.9993005398554928</v>
      </c>
      <c r="L85" s="110">
        <v>0.5999999999999801</v>
      </c>
      <c r="M85" s="110">
        <v>1.1087407557129438</v>
      </c>
      <c r="N85" s="110">
        <v>0.8358568774707891</v>
      </c>
      <c r="O85" s="110"/>
      <c r="P85" s="110"/>
      <c r="R85" s="110"/>
      <c r="V85" s="110"/>
      <c r="W85" s="149"/>
    </row>
    <row r="86" spans="3:23" ht="12.75">
      <c r="C86" s="78"/>
      <c r="D86" s="113"/>
      <c r="E86" s="127"/>
      <c r="F86" s="110"/>
      <c r="G86" s="127"/>
      <c r="H86" s="110"/>
      <c r="I86" s="110"/>
      <c r="J86" s="110"/>
      <c r="K86" s="127"/>
      <c r="L86" s="110"/>
      <c r="M86" s="110"/>
      <c r="N86" s="110"/>
      <c r="O86" s="110"/>
      <c r="P86" s="110"/>
      <c r="R86" s="110"/>
      <c r="V86" s="110"/>
      <c r="W86" s="149"/>
    </row>
    <row r="87" spans="2:23" ht="12.75">
      <c r="B87" s="126" t="s">
        <v>308</v>
      </c>
      <c r="C87" s="87"/>
      <c r="D87" s="87"/>
      <c r="E87" s="127">
        <v>62.85671054328099</v>
      </c>
      <c r="F87" s="128">
        <v>63.427483860017816</v>
      </c>
      <c r="G87" s="127">
        <v>63.777263271475576</v>
      </c>
      <c r="H87" s="128">
        <v>62.807489532192854</v>
      </c>
      <c r="I87" s="128">
        <v>64.12426980541548</v>
      </c>
      <c r="J87" s="128">
        <v>65.14744372234273</v>
      </c>
      <c r="K87" s="127">
        <v>66.48058093367533</v>
      </c>
      <c r="L87" s="128">
        <v>63.22856081076849</v>
      </c>
      <c r="M87" s="128">
        <v>67.78832839246067</v>
      </c>
      <c r="N87" s="128">
        <v>70.484299362733</v>
      </c>
      <c r="O87" s="128"/>
      <c r="P87" s="128"/>
      <c r="R87" s="128"/>
      <c r="V87" s="128"/>
      <c r="W87" s="151"/>
    </row>
    <row r="88" spans="2:23" ht="12.75">
      <c r="B88" s="117" t="s">
        <v>309</v>
      </c>
      <c r="C88" s="78"/>
      <c r="D88" s="113"/>
      <c r="E88" s="109">
        <v>67.0993855414314</v>
      </c>
      <c r="F88" s="110">
        <v>68.1063389741228</v>
      </c>
      <c r="G88" s="109">
        <v>67.30098646343359</v>
      </c>
      <c r="H88" s="110">
        <v>66.8160728291273</v>
      </c>
      <c r="I88" s="110">
        <v>67.36379551617347</v>
      </c>
      <c r="J88" s="110">
        <v>68.36329854293417</v>
      </c>
      <c r="K88" s="109">
        <v>71.3703407913841</v>
      </c>
      <c r="L88" s="110">
        <v>67.2890613229946</v>
      </c>
      <c r="M88" s="110">
        <v>72.73413372786219</v>
      </c>
      <c r="N88" s="110">
        <v>75.89704759349075</v>
      </c>
      <c r="O88" s="110"/>
      <c r="P88" s="110"/>
      <c r="R88" s="110"/>
      <c r="V88" s="110"/>
      <c r="W88" s="149"/>
    </row>
    <row r="89" spans="2:23" ht="12.75">
      <c r="B89" s="117" t="s">
        <v>310</v>
      </c>
      <c r="C89" s="78"/>
      <c r="D89" s="113"/>
      <c r="E89" s="109">
        <v>58.525594728541726</v>
      </c>
      <c r="F89" s="110">
        <v>58.59605568627894</v>
      </c>
      <c r="G89" s="109">
        <v>60.13675305504417</v>
      </c>
      <c r="H89" s="110">
        <v>58.666014628753196</v>
      </c>
      <c r="I89" s="110">
        <v>60.777197619178416</v>
      </c>
      <c r="J89" s="110">
        <v>61.82740954708736</v>
      </c>
      <c r="K89" s="109">
        <v>61.42877608935161</v>
      </c>
      <c r="L89" s="110">
        <v>59.03344754478033</v>
      </c>
      <c r="M89" s="110">
        <v>62.678331141414965</v>
      </c>
      <c r="N89" s="110">
        <v>64.89620222815404</v>
      </c>
      <c r="O89" s="110"/>
      <c r="P89" s="110"/>
      <c r="R89" s="110"/>
      <c r="V89" s="110"/>
      <c r="W89" s="149"/>
    </row>
    <row r="90" spans="2:23" ht="12.75">
      <c r="B90" s="117" t="s">
        <v>311</v>
      </c>
      <c r="C90" s="78"/>
      <c r="D90" s="113"/>
      <c r="E90" s="109">
        <v>35.48737605633393</v>
      </c>
      <c r="F90" s="110">
        <v>31.268432385568197</v>
      </c>
      <c r="G90" s="109">
        <v>29.372608375194424</v>
      </c>
      <c r="H90" s="110">
        <v>28.25027135682534</v>
      </c>
      <c r="I90" s="110">
        <v>30.117917155344813</v>
      </c>
      <c r="J90" s="110">
        <v>29.595126973875672</v>
      </c>
      <c r="K90" s="109">
        <v>29.452602886127096</v>
      </c>
      <c r="L90" s="110">
        <v>30.046862428249497</v>
      </c>
      <c r="M90" s="110">
        <v>29.404320078895623</v>
      </c>
      <c r="N90" s="110">
        <v>29.573241986509082</v>
      </c>
      <c r="O90" s="110"/>
      <c r="P90" s="110"/>
      <c r="R90" s="110"/>
      <c r="V90" s="110"/>
      <c r="W90" s="149"/>
    </row>
    <row r="91" spans="2:23" ht="12.75">
      <c r="B91" s="117" t="s">
        <v>312</v>
      </c>
      <c r="C91" s="78"/>
      <c r="D91" s="113"/>
      <c r="E91" s="109">
        <v>81.82895645010166</v>
      </c>
      <c r="F91" s="110">
        <v>82.4881623881459</v>
      </c>
      <c r="G91" s="109">
        <v>83.53586269816356</v>
      </c>
      <c r="H91" s="110">
        <v>82.04582301497457</v>
      </c>
      <c r="I91" s="110">
        <v>83.80581507277036</v>
      </c>
      <c r="J91" s="110">
        <v>86.10136864055974</v>
      </c>
      <c r="K91" s="109">
        <v>85.05050597178757</v>
      </c>
      <c r="L91" s="110">
        <v>82.41972853729415</v>
      </c>
      <c r="M91" s="110">
        <v>86.21010380955059</v>
      </c>
      <c r="N91" s="110">
        <v>87.84601514380627</v>
      </c>
      <c r="O91" s="110"/>
      <c r="P91" s="110"/>
      <c r="R91" s="110"/>
      <c r="V91" s="110"/>
      <c r="W91" s="149"/>
    </row>
    <row r="92" spans="2:23" ht="12.75">
      <c r="B92" s="117" t="s">
        <v>313</v>
      </c>
      <c r="C92" s="78"/>
      <c r="D92" s="113"/>
      <c r="E92" s="109">
        <v>23.098329990766427</v>
      </c>
      <c r="F92" s="110">
        <v>24.376991447020497</v>
      </c>
      <c r="G92" s="109">
        <v>27.49821720991293</v>
      </c>
      <c r="H92" s="110">
        <v>24.235632966283692</v>
      </c>
      <c r="I92" s="110">
        <v>28.76375745968155</v>
      </c>
      <c r="J92" s="110">
        <v>31.52636725577626</v>
      </c>
      <c r="K92" s="109">
        <v>34.78558387541723</v>
      </c>
      <c r="L92" s="110">
        <v>24.268089435942798</v>
      </c>
      <c r="M92" s="110">
        <v>38.857961698696755</v>
      </c>
      <c r="N92" s="110">
        <v>47.33064800339336</v>
      </c>
      <c r="O92" s="110"/>
      <c r="P92" s="110"/>
      <c r="R92" s="110"/>
      <c r="V92" s="110"/>
      <c r="W92" s="149"/>
    </row>
    <row r="93" spans="2:23" ht="12.75">
      <c r="B93" s="117" t="s">
        <v>314</v>
      </c>
      <c r="C93" s="78"/>
      <c r="D93" s="113"/>
      <c r="E93" s="109">
        <v>8.120812165136272</v>
      </c>
      <c r="F93" s="110">
        <v>7.2</v>
      </c>
      <c r="G93" s="109">
        <v>6.076107034611644</v>
      </c>
      <c r="H93" s="110">
        <v>6.278839323629247</v>
      </c>
      <c r="I93" s="110">
        <v>5.888671211134068</v>
      </c>
      <c r="J93" s="110">
        <v>6.382449736107219</v>
      </c>
      <c r="K93" s="109">
        <v>5.415767840871414</v>
      </c>
      <c r="L93" s="110">
        <v>5.684820337655319</v>
      </c>
      <c r="M93" s="110">
        <v>5.246564684974728</v>
      </c>
      <c r="N93" s="110">
        <v>5</v>
      </c>
      <c r="O93" s="110"/>
      <c r="P93" s="110"/>
      <c r="R93" s="110"/>
      <c r="V93" s="110"/>
      <c r="W93" s="149"/>
    </row>
    <row r="94" spans="2:23" ht="12.75">
      <c r="B94" s="117"/>
      <c r="C94" s="78"/>
      <c r="D94" s="113"/>
      <c r="E94" s="98"/>
      <c r="F94" s="110"/>
      <c r="G94" s="98"/>
      <c r="H94" s="110"/>
      <c r="I94" s="110"/>
      <c r="J94" s="110"/>
      <c r="K94" s="98"/>
      <c r="L94" s="110"/>
      <c r="M94" s="110"/>
      <c r="N94" s="110"/>
      <c r="O94" s="110"/>
      <c r="P94" s="110"/>
      <c r="R94" s="110"/>
      <c r="V94" s="110"/>
      <c r="W94" s="149"/>
    </row>
    <row r="95" spans="2:23" ht="12.75">
      <c r="B95" s="97" t="s">
        <v>315</v>
      </c>
      <c r="C95" s="78"/>
      <c r="D95" s="113"/>
      <c r="E95" s="98">
        <v>71.56928275284302</v>
      </c>
      <c r="F95" s="99">
        <v>61.67326369920001</v>
      </c>
      <c r="G95" s="98">
        <v>54.19679839242006</v>
      </c>
      <c r="H95" s="99">
        <v>61.07733278685797</v>
      </c>
      <c r="I95" s="99">
        <v>51.17130468925022</v>
      </c>
      <c r="J95" s="99">
        <v>43.477752908033516</v>
      </c>
      <c r="K95" s="98">
        <v>48.62507027603176</v>
      </c>
      <c r="L95" s="99">
        <v>61.35450041376652</v>
      </c>
      <c r="M95" s="99">
        <v>43.01145676963175</v>
      </c>
      <c r="N95" s="99">
        <v>34.95686775166738</v>
      </c>
      <c r="O95" s="99"/>
      <c r="P95" s="99"/>
      <c r="R95" s="99"/>
      <c r="V95" s="99"/>
      <c r="W95" s="150"/>
    </row>
    <row r="96" spans="2:23" ht="12.75">
      <c r="B96" s="129" t="s">
        <v>337</v>
      </c>
      <c r="C96" s="78"/>
      <c r="D96" s="113"/>
      <c r="E96" s="127">
        <v>7.424166666666667</v>
      </c>
      <c r="F96" s="128">
        <v>6.35</v>
      </c>
      <c r="G96" s="127">
        <v>5.617961508118354</v>
      </c>
      <c r="H96" s="128">
        <v>6.342559809169253</v>
      </c>
      <c r="I96" s="128">
        <v>5.300340844113012</v>
      </c>
      <c r="J96" s="128">
        <v>4.504344486324311</v>
      </c>
      <c r="K96" s="127">
        <v>4.91060375194275</v>
      </c>
      <c r="L96" s="128">
        <v>6.342559809169253</v>
      </c>
      <c r="M96" s="128">
        <v>4.274236456467527</v>
      </c>
      <c r="N96" s="128">
        <v>3.408130902107683</v>
      </c>
      <c r="O96" s="128"/>
      <c r="P96" s="128"/>
      <c r="R96" s="128"/>
      <c r="V96" s="128"/>
      <c r="W96" s="151"/>
    </row>
    <row r="97" spans="2:23" ht="12.75">
      <c r="B97" s="117" t="s">
        <v>309</v>
      </c>
      <c r="C97" s="78"/>
      <c r="D97" s="113"/>
      <c r="E97" s="109">
        <v>7.364299999999999</v>
      </c>
      <c r="F97" s="110">
        <v>5.945</v>
      </c>
      <c r="G97" s="109">
        <v>5.504027474823024</v>
      </c>
      <c r="H97" s="110">
        <v>6.1276635116853395</v>
      </c>
      <c r="I97" s="110">
        <v>5.24055123174745</v>
      </c>
      <c r="J97" s="110">
        <v>4.478079553696398</v>
      </c>
      <c r="K97" s="109">
        <v>4.74318948114741</v>
      </c>
      <c r="L97" s="110">
        <v>6.162898563704037</v>
      </c>
      <c r="M97" s="110">
        <v>4.138640589032174</v>
      </c>
      <c r="N97" s="110">
        <v>3.316789346980692</v>
      </c>
      <c r="O97" s="110"/>
      <c r="P97" s="110"/>
      <c r="R97" s="110"/>
      <c r="V97" s="110"/>
      <c r="W97" s="149"/>
    </row>
    <row r="98" spans="2:23" ht="12.75">
      <c r="B98" s="117" t="s">
        <v>310</v>
      </c>
      <c r="C98" s="78"/>
      <c r="D98" s="113"/>
      <c r="E98" s="109">
        <v>7.495924652196714</v>
      </c>
      <c r="F98" s="110">
        <v>6.828389800554621</v>
      </c>
      <c r="G98" s="109">
        <v>5.750261862576941</v>
      </c>
      <c r="H98" s="110">
        <v>6.59393342182934</v>
      </c>
      <c r="I98" s="110">
        <v>5.368589682092306</v>
      </c>
      <c r="J98" s="110">
        <v>4.53415050163472</v>
      </c>
      <c r="K98" s="109">
        <v>5.108280917477126</v>
      </c>
      <c r="L98" s="110">
        <v>6.550127742374926</v>
      </c>
      <c r="M98" s="110">
        <v>4.434392010705458</v>
      </c>
      <c r="N98" s="110">
        <v>3.5170806599908664</v>
      </c>
      <c r="O98" s="110"/>
      <c r="P98" s="110"/>
      <c r="R98" s="110"/>
      <c r="V98" s="110"/>
      <c r="W98" s="149"/>
    </row>
    <row r="99" spans="2:23" ht="12.75">
      <c r="B99" s="117" t="s">
        <v>317</v>
      </c>
      <c r="C99" s="78"/>
      <c r="D99" s="113"/>
      <c r="E99" s="109">
        <v>18.008194510135393</v>
      </c>
      <c r="F99" s="110">
        <v>16.9811320754717</v>
      </c>
      <c r="G99" s="109">
        <v>17.955751658814428</v>
      </c>
      <c r="H99" s="110">
        <v>18.69532524807156</v>
      </c>
      <c r="I99" s="110">
        <v>17.494365373772393</v>
      </c>
      <c r="J99" s="110">
        <v>17.21496508207508</v>
      </c>
      <c r="K99" s="109">
        <v>13.833588195793459</v>
      </c>
      <c r="L99" s="110">
        <v>17.842462005040677</v>
      </c>
      <c r="M99" s="110">
        <v>12.013830210483963</v>
      </c>
      <c r="N99" s="110">
        <v>9.210013548060445</v>
      </c>
      <c r="O99" s="110"/>
      <c r="P99" s="110"/>
      <c r="R99" s="110"/>
      <c r="V99" s="110"/>
      <c r="W99" s="149"/>
    </row>
    <row r="100" spans="2:23" ht="12.75">
      <c r="B100" s="117" t="s">
        <v>318</v>
      </c>
      <c r="C100" s="78"/>
      <c r="D100" s="113"/>
      <c r="E100" s="109">
        <v>6.115916680262651</v>
      </c>
      <c r="F100" s="110">
        <v>5.287681289725902</v>
      </c>
      <c r="G100" s="109">
        <v>4.63842255789206</v>
      </c>
      <c r="H100" s="110">
        <v>5.277642649739115</v>
      </c>
      <c r="I100" s="110">
        <v>4.372793913387134</v>
      </c>
      <c r="J100" s="110">
        <v>3.645788047530375</v>
      </c>
      <c r="K100" s="109">
        <v>4.3387143205663445</v>
      </c>
      <c r="L100" s="110">
        <v>5.277546613555668</v>
      </c>
      <c r="M100" s="110">
        <v>3.922111501163715</v>
      </c>
      <c r="N100" s="110">
        <v>3.3022912400187265</v>
      </c>
      <c r="O100" s="110"/>
      <c r="P100" s="110"/>
      <c r="R100" s="110"/>
      <c r="V100" s="110"/>
      <c r="W100" s="149"/>
    </row>
    <row r="101" spans="2:23" ht="12.75">
      <c r="B101" s="117" t="s">
        <v>319</v>
      </c>
      <c r="C101" s="78"/>
      <c r="D101" s="113"/>
      <c r="E101" s="109">
        <v>3.3469343752075673</v>
      </c>
      <c r="F101" s="110">
        <v>3.479262837441484</v>
      </c>
      <c r="G101" s="109">
        <v>2.9960518737023976</v>
      </c>
      <c r="H101" s="110">
        <v>3.679659506789551</v>
      </c>
      <c r="I101" s="110">
        <v>2.703833631555602</v>
      </c>
      <c r="J101" s="110">
        <v>2.007589546403219</v>
      </c>
      <c r="K101" s="109">
        <v>2.5561003324910367</v>
      </c>
      <c r="L101" s="110">
        <v>3.6909803020632244</v>
      </c>
      <c r="M101" s="110">
        <v>2.08204437276615</v>
      </c>
      <c r="N101" s="110">
        <v>1.5999953204704633</v>
      </c>
      <c r="O101" s="110"/>
      <c r="P101" s="110"/>
      <c r="R101" s="110"/>
      <c r="V101" s="110"/>
      <c r="W101" s="149"/>
    </row>
    <row r="102" spans="2:23" ht="12.75">
      <c r="B102" s="117"/>
      <c r="C102" s="78"/>
      <c r="D102" s="113"/>
      <c r="E102" s="127"/>
      <c r="F102" s="110"/>
      <c r="G102" s="127"/>
      <c r="H102" s="110"/>
      <c r="I102" s="110"/>
      <c r="J102" s="110"/>
      <c r="K102" s="127"/>
      <c r="L102" s="110"/>
      <c r="M102" s="110"/>
      <c r="N102" s="110"/>
      <c r="O102" s="110"/>
      <c r="P102" s="110"/>
      <c r="R102" s="110"/>
      <c r="V102" s="110"/>
      <c r="W102" s="149"/>
    </row>
    <row r="103" spans="1:23" s="67" customFormat="1" ht="12.75">
      <c r="A103"/>
      <c r="B103" s="126" t="s">
        <v>336</v>
      </c>
      <c r="C103" s="142"/>
      <c r="D103" s="105"/>
      <c r="E103" s="127">
        <v>68.01015413484213</v>
      </c>
      <c r="F103" s="128">
        <v>67.83</v>
      </c>
      <c r="G103" s="127">
        <v>67.65441361081031</v>
      </c>
      <c r="H103" s="128">
        <v>67.15379575771821</v>
      </c>
      <c r="I103" s="128">
        <v>67.79100861212027</v>
      </c>
      <c r="J103" s="128">
        <v>68.29513120971032</v>
      </c>
      <c r="K103" s="127">
        <v>69.95784688480406</v>
      </c>
      <c r="L103" s="128">
        <v>67.59459048077612</v>
      </c>
      <c r="M103" s="128">
        <v>70.87036389317453</v>
      </c>
      <c r="N103" s="128">
        <v>73.01509472035495</v>
      </c>
      <c r="O103" s="128"/>
      <c r="P103" s="128"/>
      <c r="R103" s="128"/>
      <c r="V103" s="128"/>
      <c r="W103" s="151"/>
    </row>
    <row r="104" spans="1:23" ht="12.75">
      <c r="A104" s="67"/>
      <c r="B104" s="117" t="s">
        <v>309</v>
      </c>
      <c r="C104" s="78"/>
      <c r="D104" s="113"/>
      <c r="E104" s="109">
        <v>72.55480698600222</v>
      </c>
      <c r="F104" s="110">
        <v>72.5</v>
      </c>
      <c r="G104" s="109">
        <v>71.30341246981122</v>
      </c>
      <c r="H104" s="110">
        <v>71.27097972915277</v>
      </c>
      <c r="I104" s="110">
        <v>71.16660065471166</v>
      </c>
      <c r="J104" s="110">
        <v>71.63806211065106</v>
      </c>
      <c r="K104" s="109">
        <v>74.94797223871004</v>
      </c>
      <c r="L104" s="110">
        <v>71.7641844950352</v>
      </c>
      <c r="M104" s="110">
        <v>75.91428692254226</v>
      </c>
      <c r="N104" s="110">
        <v>78.53450175963454</v>
      </c>
      <c r="O104" s="110"/>
      <c r="P104" s="110"/>
      <c r="R104" s="110"/>
      <c r="V104" s="110"/>
      <c r="W104" s="149"/>
    </row>
    <row r="105" spans="2:23" ht="12.75">
      <c r="B105" s="117" t="s">
        <v>310</v>
      </c>
      <c r="C105" s="78"/>
      <c r="D105" s="113"/>
      <c r="E105" s="109">
        <v>63.371986266166566</v>
      </c>
      <c r="F105" s="110">
        <v>63.00771569729903</v>
      </c>
      <c r="G105" s="109">
        <v>63.88447352307069</v>
      </c>
      <c r="H105" s="110">
        <v>62.90011987587235</v>
      </c>
      <c r="I105" s="110">
        <v>64.30335293452505</v>
      </c>
      <c r="J105" s="110">
        <v>64.8439042558146</v>
      </c>
      <c r="K105" s="109">
        <v>64.80235146937228</v>
      </c>
      <c r="L105" s="110">
        <v>63.28676707074697</v>
      </c>
      <c r="M105" s="110">
        <v>65.65899161572867</v>
      </c>
      <c r="N105" s="110">
        <v>67.31688350751689</v>
      </c>
      <c r="O105" s="110"/>
      <c r="P105" s="110"/>
      <c r="R105" s="110"/>
      <c r="V105" s="110"/>
      <c r="W105" s="149"/>
    </row>
    <row r="107" spans="7:11" ht="12.75">
      <c r="G107" s="110" t="s">
        <v>305</v>
      </c>
      <c r="J107" s="110"/>
      <c r="K107" s="110" t="s">
        <v>334</v>
      </c>
    </row>
    <row r="108" spans="2:24" ht="12.75">
      <c r="B108" s="140"/>
      <c r="C108" s="140"/>
      <c r="D108" s="140"/>
      <c r="E108" s="98" t="s">
        <v>302</v>
      </c>
      <c r="F108" s="69">
        <v>2002</v>
      </c>
      <c r="G108" s="141" t="s">
        <v>303</v>
      </c>
      <c r="H108" s="69">
        <v>2005</v>
      </c>
      <c r="I108" s="69">
        <v>2010</v>
      </c>
      <c r="J108" s="69">
        <v>2013</v>
      </c>
      <c r="K108" s="141" t="s">
        <v>303</v>
      </c>
      <c r="L108" s="69">
        <v>2005</v>
      </c>
      <c r="M108" s="69">
        <v>2010</v>
      </c>
      <c r="N108" s="69">
        <v>2013</v>
      </c>
      <c r="O108" s="69"/>
      <c r="P108" s="69"/>
      <c r="Q108" s="69"/>
      <c r="R108" s="69"/>
      <c r="V108" s="69"/>
      <c r="W108" s="150"/>
      <c r="X108" s="69"/>
    </row>
    <row r="109" spans="2:23" ht="12.75">
      <c r="B109" s="133" t="s">
        <v>331</v>
      </c>
      <c r="C109" s="78"/>
      <c r="D109" s="113"/>
      <c r="E109" s="109">
        <v>22.637555837004566</v>
      </c>
      <c r="F109" s="110">
        <v>18.35164835164835</v>
      </c>
      <c r="G109" s="109">
        <v>15.333916069364935</v>
      </c>
      <c r="H109" s="110">
        <v>16.53557017490866</v>
      </c>
      <c r="I109" s="110">
        <v>14.839699261561915</v>
      </c>
      <c r="J109" s="110">
        <v>13.807585990182712</v>
      </c>
      <c r="K109" s="109">
        <v>13.291804246914449</v>
      </c>
      <c r="L109" s="110">
        <v>16.412555627750194</v>
      </c>
      <c r="M109" s="110">
        <v>11.886220729362382</v>
      </c>
      <c r="N109" s="110">
        <v>9.039277292061335</v>
      </c>
      <c r="O109" s="110"/>
      <c r="P109" s="110"/>
      <c r="R109" s="110"/>
      <c r="V109" s="110"/>
      <c r="W109" s="149"/>
    </row>
    <row r="110" spans="2:14" ht="12.75">
      <c r="B110" s="133" t="s">
        <v>332</v>
      </c>
      <c r="E110" s="109">
        <v>61.440734895058</v>
      </c>
      <c r="F110" s="110">
        <v>63.2967032967033</v>
      </c>
      <c r="G110" s="109">
        <v>60.40389030413661</v>
      </c>
      <c r="H110" s="110">
        <v>62.53565287836212</v>
      </c>
      <c r="I110" s="110">
        <v>59.50530535430885</v>
      </c>
      <c r="J110" s="110">
        <v>57.4485999839786</v>
      </c>
      <c r="K110" s="109">
        <v>58.491077030837936</v>
      </c>
      <c r="L110" s="110">
        <v>62.300495316540804</v>
      </c>
      <c r="M110" s="110">
        <v>57.32842673441954</v>
      </c>
      <c r="N110" s="110">
        <v>52.16912984145819</v>
      </c>
    </row>
    <row r="111" spans="2:14" ht="12.75">
      <c r="B111" s="133" t="s">
        <v>333</v>
      </c>
      <c r="E111" s="109">
        <v>15.921709267937445</v>
      </c>
      <c r="F111" s="110">
        <v>18.35164835164835</v>
      </c>
      <c r="G111" s="109">
        <v>24.26219362649845</v>
      </c>
      <c r="H111" s="110">
        <v>20.928776946729208</v>
      </c>
      <c r="I111" s="110">
        <v>25.654995384129233</v>
      </c>
      <c r="J111" s="110">
        <v>28.74381402583867</v>
      </c>
      <c r="K111" s="109">
        <v>28.21711872224761</v>
      </c>
      <c r="L111" s="110">
        <v>21.286949055709</v>
      </c>
      <c r="M111" s="110">
        <v>30.785352536218085</v>
      </c>
      <c r="N111" s="110">
        <v>38.79159286648047</v>
      </c>
    </row>
    <row r="112" spans="2:14" ht="12.75">
      <c r="B112" s="136" t="s">
        <v>330</v>
      </c>
      <c r="E112" s="98">
        <v>11.207231065687289</v>
      </c>
      <c r="F112" s="99">
        <v>11.575058748158742</v>
      </c>
      <c r="G112" s="98">
        <v>12.041584282959708</v>
      </c>
      <c r="H112" s="99">
        <v>11.79880840343279</v>
      </c>
      <c r="I112" s="99">
        <v>12.144116464412578</v>
      </c>
      <c r="J112" s="99">
        <v>12.358231559269832</v>
      </c>
      <c r="K112" s="98">
        <v>12.28431551482812</v>
      </c>
      <c r="L112" s="99">
        <v>11.82389437386522</v>
      </c>
      <c r="M112" s="99">
        <v>12.473968862208245</v>
      </c>
      <c r="N112" s="99">
        <v>12.92961770385746</v>
      </c>
    </row>
    <row r="114" spans="5:14" ht="12.75">
      <c r="E114" s="10">
        <v>100</v>
      </c>
      <c r="F114" s="10">
        <v>100</v>
      </c>
      <c r="G114" s="10">
        <v>100</v>
      </c>
      <c r="H114" s="10">
        <v>100</v>
      </c>
      <c r="I114" s="10">
        <v>100</v>
      </c>
      <c r="J114" s="10">
        <v>100</v>
      </c>
      <c r="K114" s="10">
        <v>100</v>
      </c>
      <c r="L114" s="10">
        <v>100</v>
      </c>
      <c r="M114" s="10">
        <v>100</v>
      </c>
      <c r="N114" s="10">
        <v>100</v>
      </c>
    </row>
  </sheetData>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dimension ref="A1:Y54"/>
  <sheetViews>
    <sheetView workbookViewId="0" topLeftCell="A1">
      <selection activeCell="A2" sqref="A2"/>
    </sheetView>
  </sheetViews>
  <sheetFormatPr defaultColWidth="9.140625" defaultRowHeight="12.75"/>
  <cols>
    <col min="3" max="3" width="7.28125" style="0" customWidth="1"/>
    <col min="4" max="24" width="5.7109375" style="0" customWidth="1"/>
  </cols>
  <sheetData>
    <row r="1" spans="1:19" s="75" customFormat="1" ht="12.75">
      <c r="A1" s="117" t="s">
        <v>338</v>
      </c>
      <c r="B1" s="78"/>
      <c r="C1" s="113"/>
      <c r="D1" s="128"/>
      <c r="E1" s="110"/>
      <c r="F1" s="110"/>
      <c r="G1" s="110"/>
      <c r="H1" s="72" t="s">
        <v>302</v>
      </c>
      <c r="I1" s="69">
        <v>2002</v>
      </c>
      <c r="J1" s="69" t="s">
        <v>339</v>
      </c>
      <c r="K1" s="110"/>
      <c r="L1" s="110"/>
      <c r="M1" s="110"/>
      <c r="N1" s="110"/>
      <c r="O1" s="110"/>
      <c r="P1" s="110"/>
      <c r="Q1" s="110"/>
      <c r="R1" s="110"/>
      <c r="S1" s="110"/>
    </row>
    <row r="2" spans="2:19" s="75" customFormat="1" ht="12.75">
      <c r="B2" s="78"/>
      <c r="C2" s="113"/>
      <c r="D2" s="128"/>
      <c r="E2" s="110"/>
      <c r="F2" s="110"/>
      <c r="G2" s="110"/>
      <c r="H2" s="109"/>
      <c r="I2" s="110"/>
      <c r="J2" s="110" t="s">
        <v>305</v>
      </c>
      <c r="K2" s="110" t="s">
        <v>340</v>
      </c>
      <c r="L2" s="110"/>
      <c r="M2" s="110"/>
      <c r="N2" s="110"/>
      <c r="O2" s="110"/>
      <c r="P2" s="110"/>
      <c r="Q2" s="110"/>
      <c r="R2" s="110"/>
      <c r="S2" s="110"/>
    </row>
    <row r="3" spans="1:20" s="75" customFormat="1" ht="12.75">
      <c r="A3" s="143" t="s">
        <v>341</v>
      </c>
      <c r="B3" s="71"/>
      <c r="C3" s="71"/>
      <c r="D3" s="128"/>
      <c r="H3" s="127">
        <v>1.6885383277535027</v>
      </c>
      <c r="I3" s="110">
        <v>3.671304564292222</v>
      </c>
      <c r="J3" s="110">
        <v>16.666666666666664</v>
      </c>
      <c r="K3" s="110">
        <v>16.666666666666664</v>
      </c>
      <c r="T3" s="84"/>
    </row>
    <row r="4" spans="1:20" s="75" customFormat="1" ht="12.75">
      <c r="A4" s="143" t="s">
        <v>342</v>
      </c>
      <c r="B4" s="78"/>
      <c r="C4" s="113"/>
      <c r="D4" s="128"/>
      <c r="H4" s="127">
        <v>0.5512811263107306</v>
      </c>
      <c r="I4" s="110">
        <v>0.33740438473693407</v>
      </c>
      <c r="J4" s="110">
        <v>0.23476652618140198</v>
      </c>
      <c r="K4" s="110">
        <v>1.5273177295204612</v>
      </c>
      <c r="T4" s="84"/>
    </row>
    <row r="5" spans="1:19" s="75" customFormat="1" ht="12.75">
      <c r="A5" s="143" t="s">
        <v>343</v>
      </c>
      <c r="B5" s="78"/>
      <c r="C5" s="113"/>
      <c r="D5" s="128"/>
      <c r="E5" s="99"/>
      <c r="F5" s="99"/>
      <c r="G5" s="99"/>
      <c r="H5" s="127">
        <v>3.1976952890986996</v>
      </c>
      <c r="I5" s="110">
        <v>3.2588688916786084</v>
      </c>
      <c r="J5" s="110">
        <v>3.1976952890986996</v>
      </c>
      <c r="K5" s="110">
        <v>8.536103937546835</v>
      </c>
      <c r="L5" s="138"/>
      <c r="M5" s="138"/>
      <c r="N5" s="138"/>
      <c r="O5" s="138"/>
      <c r="P5" s="138"/>
      <c r="Q5" s="138"/>
      <c r="R5" s="138"/>
      <c r="S5" s="138"/>
    </row>
    <row r="6" spans="1:19" s="75" customFormat="1" ht="12.75">
      <c r="A6" s="143" t="s">
        <v>344</v>
      </c>
      <c r="B6" s="78"/>
      <c r="C6" s="113"/>
      <c r="D6" s="128"/>
      <c r="E6" s="110"/>
      <c r="F6" s="110"/>
      <c r="G6" s="110"/>
      <c r="H6" s="127">
        <v>5.4161114771327314</v>
      </c>
      <c r="I6" s="110">
        <v>6.977036096981427</v>
      </c>
      <c r="J6" s="110">
        <v>9.68770306144319</v>
      </c>
      <c r="K6" s="110">
        <v>14.936578332932704</v>
      </c>
      <c r="L6" s="116"/>
      <c r="M6" s="116"/>
      <c r="N6" s="116"/>
      <c r="O6" s="116"/>
      <c r="P6" s="116"/>
      <c r="Q6" s="116"/>
      <c r="R6" s="116"/>
      <c r="S6" s="116"/>
    </row>
    <row r="7" spans="1:19" s="75" customFormat="1" ht="12.75">
      <c r="A7" s="143" t="s">
        <v>345</v>
      </c>
      <c r="B7" s="87"/>
      <c r="C7" s="87"/>
      <c r="D7" s="128"/>
      <c r="E7" s="128"/>
      <c r="F7" s="128"/>
      <c r="G7" s="128"/>
      <c r="H7" s="127">
        <v>0.6743988977996992</v>
      </c>
      <c r="I7" s="110">
        <v>1.862820129398861</v>
      </c>
      <c r="J7" s="110">
        <v>3.725640258797722</v>
      </c>
      <c r="K7" s="110">
        <v>3.725640258797722</v>
      </c>
      <c r="L7" s="131"/>
      <c r="M7" s="131"/>
      <c r="N7" s="131"/>
      <c r="O7" s="131"/>
      <c r="P7" s="131"/>
      <c r="Q7" s="131"/>
      <c r="R7" s="131"/>
      <c r="S7" s="131"/>
    </row>
    <row r="8" spans="1:19" s="75" customFormat="1" ht="12.75">
      <c r="A8" s="143" t="s">
        <v>346</v>
      </c>
      <c r="B8" s="78"/>
      <c r="C8" s="113"/>
      <c r="D8" s="128"/>
      <c r="E8" s="110"/>
      <c r="F8" s="110"/>
      <c r="G8" s="110"/>
      <c r="H8" s="127">
        <v>0.8714103871315353</v>
      </c>
      <c r="I8" s="110">
        <v>0.5297588976268623</v>
      </c>
      <c r="J8" s="110">
        <v>1.0595177952537247</v>
      </c>
      <c r="K8" s="110">
        <v>4.353524595014363</v>
      </c>
      <c r="L8" s="139"/>
      <c r="M8" s="139"/>
      <c r="N8" s="139"/>
      <c r="O8" s="139"/>
      <c r="P8" s="139"/>
      <c r="Q8" s="139"/>
      <c r="R8" s="139"/>
      <c r="S8" s="139"/>
    </row>
    <row r="9" spans="1:19" s="75" customFormat="1" ht="12.75">
      <c r="A9" s="143" t="s">
        <v>347</v>
      </c>
      <c r="B9" s="78"/>
      <c r="C9" s="113"/>
      <c r="D9" s="128"/>
      <c r="E9" s="110"/>
      <c r="F9" s="110"/>
      <c r="G9" s="110"/>
      <c r="H9" s="127">
        <v>1.486074033763672</v>
      </c>
      <c r="I9" s="110">
        <v>2.5434995122386366</v>
      </c>
      <c r="J9" s="110">
        <v>3</v>
      </c>
      <c r="K9" s="110">
        <v>5.646475404985638</v>
      </c>
      <c r="L9" s="139"/>
      <c r="M9" s="139"/>
      <c r="N9" s="139"/>
      <c r="O9" s="139"/>
      <c r="P9" s="139"/>
      <c r="Q9" s="139"/>
      <c r="R9" s="139"/>
      <c r="S9" s="139"/>
    </row>
    <row r="10" spans="1:19" s="75" customFormat="1" ht="12.75">
      <c r="A10" s="143" t="s">
        <v>348</v>
      </c>
      <c r="B10" s="78"/>
      <c r="C10" s="113"/>
      <c r="D10" s="128"/>
      <c r="E10" s="110"/>
      <c r="F10" s="110"/>
      <c r="G10" s="110"/>
      <c r="H10" s="127">
        <v>1.6067473915853165</v>
      </c>
      <c r="I10" s="110">
        <v>1.6064651674672015</v>
      </c>
      <c r="J10" s="110">
        <v>2</v>
      </c>
      <c r="K10" s="110">
        <v>3.212930334934403</v>
      </c>
      <c r="L10" s="116"/>
      <c r="M10" s="116"/>
      <c r="N10" s="116"/>
      <c r="O10" s="116"/>
      <c r="P10" s="116"/>
      <c r="Q10" s="116"/>
      <c r="R10" s="116"/>
      <c r="S10" s="116"/>
    </row>
    <row r="11" spans="1:19" s="75" customFormat="1" ht="12.75">
      <c r="A11" s="117"/>
      <c r="B11" s="78"/>
      <c r="C11" s="113"/>
      <c r="D11" s="109"/>
      <c r="E11" s="110"/>
      <c r="F11" s="110"/>
      <c r="G11" s="110"/>
      <c r="H11" s="116"/>
      <c r="I11" s="116"/>
      <c r="J11" s="116"/>
      <c r="K11" s="116"/>
      <c r="L11" s="116"/>
      <c r="M11" s="116"/>
      <c r="N11" s="116"/>
      <c r="O11" s="116"/>
      <c r="P11" s="116"/>
      <c r="Q11" s="116"/>
      <c r="R11" s="116"/>
      <c r="S11" s="116"/>
    </row>
    <row r="12" spans="1:19" s="75" customFormat="1" ht="12.75" customHeight="1">
      <c r="A12" s="117"/>
      <c r="B12" s="78"/>
      <c r="C12" s="113"/>
      <c r="D12" s="109"/>
      <c r="E12" s="110"/>
      <c r="F12" s="110"/>
      <c r="G12" s="110"/>
      <c r="H12" s="116"/>
      <c r="I12" s="116"/>
      <c r="J12" s="116"/>
      <c r="K12" s="116"/>
      <c r="L12" s="116"/>
      <c r="M12" s="116"/>
      <c r="N12" s="116"/>
      <c r="O12" s="116"/>
      <c r="P12" s="116"/>
      <c r="Q12" s="116"/>
      <c r="R12" s="116"/>
      <c r="S12" s="116"/>
    </row>
    <row r="13" spans="1:19" s="75" customFormat="1" ht="12.75">
      <c r="A13" s="117"/>
      <c r="B13" s="78"/>
      <c r="C13" s="113"/>
      <c r="D13" s="109"/>
      <c r="E13" s="110"/>
      <c r="F13" s="110"/>
      <c r="G13" s="110"/>
      <c r="H13" s="116"/>
      <c r="I13" s="116"/>
      <c r="J13" s="116"/>
      <c r="K13" s="116"/>
      <c r="L13" s="116"/>
      <c r="M13" s="116"/>
      <c r="N13" s="116"/>
      <c r="O13" s="116"/>
      <c r="P13" s="116"/>
      <c r="Q13" s="116"/>
      <c r="R13" s="116"/>
      <c r="S13" s="116"/>
    </row>
    <row r="14" spans="1:19" s="75" customFormat="1" ht="12.75">
      <c r="A14" s="117"/>
      <c r="B14" s="78"/>
      <c r="C14" s="113"/>
      <c r="D14" s="83"/>
      <c r="H14" s="123"/>
      <c r="I14" s="123"/>
      <c r="J14" s="123"/>
      <c r="K14" s="123"/>
      <c r="L14" s="123"/>
      <c r="M14" s="123"/>
      <c r="N14" s="123"/>
      <c r="O14" s="123"/>
      <c r="P14" s="123"/>
      <c r="Q14" s="123"/>
      <c r="R14" s="123"/>
      <c r="S14" s="123"/>
    </row>
    <row r="15" spans="1:19" s="75" customFormat="1" ht="12.75">
      <c r="A15" s="97"/>
      <c r="B15" s="78"/>
      <c r="C15" s="113"/>
      <c r="D15" s="98"/>
      <c r="E15" s="99"/>
      <c r="F15" s="99"/>
      <c r="G15" s="99"/>
      <c r="H15" s="138"/>
      <c r="I15" s="138"/>
      <c r="J15" s="138"/>
      <c r="K15" s="138"/>
      <c r="L15" s="138"/>
      <c r="M15" s="138"/>
      <c r="N15" s="138"/>
      <c r="O15" s="138"/>
      <c r="P15" s="138"/>
      <c r="Q15" s="138"/>
      <c r="R15" s="138"/>
      <c r="S15" s="138"/>
    </row>
    <row r="16" spans="1:19" s="75" customFormat="1" ht="12.75">
      <c r="A16" s="126"/>
      <c r="B16" s="78"/>
      <c r="C16" s="113"/>
      <c r="D16" s="127"/>
      <c r="E16" s="128"/>
      <c r="F16" s="128"/>
      <c r="G16" s="128"/>
      <c r="H16" s="131"/>
      <c r="I16" s="131"/>
      <c r="J16" s="131"/>
      <c r="K16" s="131"/>
      <c r="L16" s="131"/>
      <c r="M16" s="131"/>
      <c r="N16" s="131"/>
      <c r="O16" s="131"/>
      <c r="P16" s="131"/>
      <c r="Q16" s="131"/>
      <c r="R16" s="131"/>
      <c r="S16" s="131"/>
    </row>
    <row r="17" spans="1:19" s="75" customFormat="1" ht="12.75">
      <c r="A17" s="117"/>
      <c r="B17" s="78"/>
      <c r="C17" s="113"/>
      <c r="D17" s="109"/>
      <c r="E17" s="110"/>
      <c r="F17" s="110"/>
      <c r="G17" s="110"/>
      <c r="H17" s="139"/>
      <c r="I17" s="139"/>
      <c r="J17" s="139"/>
      <c r="K17" s="139"/>
      <c r="L17" s="139"/>
      <c r="M17" s="139"/>
      <c r="N17" s="139"/>
      <c r="O17" s="139"/>
      <c r="P17" s="139"/>
      <c r="Q17" s="139"/>
      <c r="R17" s="139"/>
      <c r="S17" s="139"/>
    </row>
    <row r="18" spans="1:19" s="75" customFormat="1" ht="12.75">
      <c r="A18" s="117"/>
      <c r="B18" s="78"/>
      <c r="C18" s="113"/>
      <c r="D18" s="109"/>
      <c r="E18" s="110"/>
      <c r="F18" s="110"/>
      <c r="G18" s="110"/>
      <c r="H18" s="139"/>
      <c r="I18" s="139"/>
      <c r="J18" s="139"/>
      <c r="K18" s="139"/>
      <c r="L18" s="139"/>
      <c r="M18" s="139"/>
      <c r="N18" s="139"/>
      <c r="O18" s="139"/>
      <c r="P18" s="139"/>
      <c r="Q18" s="139"/>
      <c r="R18" s="139"/>
      <c r="S18" s="139"/>
    </row>
    <row r="19" spans="1:19" s="75" customFormat="1" ht="12.75">
      <c r="A19" s="117"/>
      <c r="B19" s="78"/>
      <c r="C19" s="113"/>
      <c r="D19" s="109"/>
      <c r="E19" s="110"/>
      <c r="F19" s="110"/>
      <c r="G19" s="110"/>
      <c r="H19" s="116"/>
      <c r="I19" s="116"/>
      <c r="J19" s="116"/>
      <c r="K19" s="116"/>
      <c r="L19" s="116"/>
      <c r="M19" s="116"/>
      <c r="N19" s="116"/>
      <c r="O19" s="116"/>
      <c r="P19" s="116"/>
      <c r="Q19" s="116"/>
      <c r="R19" s="116"/>
      <c r="S19" s="116"/>
    </row>
    <row r="20" spans="1:19" s="75" customFormat="1" ht="12.75">
      <c r="A20" s="117"/>
      <c r="B20" s="78"/>
      <c r="C20" s="113"/>
      <c r="D20" s="109"/>
      <c r="E20" s="110"/>
      <c r="F20" s="110"/>
      <c r="G20" s="110"/>
      <c r="H20" s="116"/>
      <c r="I20" s="116"/>
      <c r="J20" s="116"/>
      <c r="K20" s="116"/>
      <c r="L20" s="116"/>
      <c r="M20" s="116"/>
      <c r="N20" s="116"/>
      <c r="O20" s="116"/>
      <c r="P20" s="116"/>
      <c r="Q20" s="116"/>
      <c r="R20" s="116"/>
      <c r="S20" s="116"/>
    </row>
    <row r="21" spans="1:19" s="75" customFormat="1" ht="12.75">
      <c r="A21" s="117"/>
      <c r="B21" s="78"/>
      <c r="C21" s="113"/>
      <c r="D21" s="109"/>
      <c r="E21" s="110"/>
      <c r="F21" s="110"/>
      <c r="G21" s="110"/>
      <c r="H21" s="116"/>
      <c r="I21" s="116"/>
      <c r="J21" s="116"/>
      <c r="K21" s="116"/>
      <c r="L21" s="116"/>
      <c r="M21" s="116"/>
      <c r="N21" s="116"/>
      <c r="O21" s="116"/>
      <c r="P21" s="116"/>
      <c r="Q21" s="116"/>
      <c r="R21" s="116"/>
      <c r="S21" s="116"/>
    </row>
    <row r="22" spans="1:19" s="75" customFormat="1" ht="12.75">
      <c r="A22" s="117"/>
      <c r="B22" s="78"/>
      <c r="C22" s="113"/>
      <c r="D22" s="83"/>
      <c r="H22" s="123"/>
      <c r="I22" s="123"/>
      <c r="J22" s="123"/>
      <c r="K22" s="123"/>
      <c r="L22" s="123"/>
      <c r="M22" s="123"/>
      <c r="N22" s="123"/>
      <c r="O22" s="123"/>
      <c r="P22" s="123"/>
      <c r="Q22" s="123"/>
      <c r="R22" s="123"/>
      <c r="S22" s="123"/>
    </row>
    <row r="23" spans="1:19" s="75" customFormat="1" ht="12.75">
      <c r="A23" s="126"/>
      <c r="B23" s="78"/>
      <c r="C23" s="113"/>
      <c r="D23" s="127"/>
      <c r="E23" s="128"/>
      <c r="F23" s="128"/>
      <c r="G23" s="128"/>
      <c r="H23" s="131"/>
      <c r="I23" s="131"/>
      <c r="J23" s="131"/>
      <c r="K23" s="131"/>
      <c r="L23" s="131"/>
      <c r="M23" s="131"/>
      <c r="N23" s="131"/>
      <c r="O23" s="131"/>
      <c r="P23" s="131"/>
      <c r="Q23" s="131"/>
      <c r="R23" s="131"/>
      <c r="S23" s="131"/>
    </row>
    <row r="24" spans="1:19" s="75" customFormat="1" ht="12.75">
      <c r="A24" s="117"/>
      <c r="B24" s="78"/>
      <c r="C24" s="113"/>
      <c r="D24" s="109"/>
      <c r="E24" s="110"/>
      <c r="F24" s="110"/>
      <c r="G24" s="110"/>
      <c r="H24" s="139"/>
      <c r="I24" s="139"/>
      <c r="J24" s="139"/>
      <c r="K24" s="139"/>
      <c r="L24" s="139"/>
      <c r="M24" s="139"/>
      <c r="N24" s="139"/>
      <c r="O24" s="139"/>
      <c r="P24" s="139"/>
      <c r="Q24" s="139"/>
      <c r="R24" s="139"/>
      <c r="S24" s="139"/>
    </row>
    <row r="25" spans="1:19" s="75" customFormat="1" ht="12.75">
      <c r="A25" s="117"/>
      <c r="B25" s="78"/>
      <c r="C25" s="113"/>
      <c r="D25" s="109"/>
      <c r="E25" s="110"/>
      <c r="F25" s="110"/>
      <c r="G25" s="110"/>
      <c r="H25" s="139"/>
      <c r="I25" s="139"/>
      <c r="J25" s="139"/>
      <c r="K25" s="139"/>
      <c r="L25" s="139"/>
      <c r="M25" s="139"/>
      <c r="N25" s="139"/>
      <c r="O25" s="139"/>
      <c r="P25" s="139"/>
      <c r="Q25" s="139"/>
      <c r="R25" s="139"/>
      <c r="S25" s="139"/>
    </row>
    <row r="28" spans="1:24" ht="12.75">
      <c r="A28" s="140"/>
      <c r="B28" s="140"/>
      <c r="C28" s="140"/>
      <c r="D28" s="109"/>
      <c r="F28" s="110"/>
      <c r="I28" s="110"/>
      <c r="J28" s="110"/>
      <c r="K28" s="110"/>
      <c r="L28" s="110"/>
      <c r="M28" s="110"/>
      <c r="N28" s="110"/>
      <c r="O28" s="110"/>
      <c r="P28" s="110"/>
      <c r="S28" s="110"/>
      <c r="T28" s="110"/>
      <c r="U28" s="110"/>
      <c r="V28" s="110"/>
      <c r="W28" s="110"/>
      <c r="X28" s="110"/>
    </row>
    <row r="29" spans="1:25" ht="12.75">
      <c r="A29" s="140"/>
      <c r="B29" s="140"/>
      <c r="C29" s="140"/>
      <c r="D29" s="98"/>
      <c r="E29" s="69"/>
      <c r="F29" s="141"/>
      <c r="G29" s="69"/>
      <c r="H29" s="69"/>
      <c r="I29" s="69"/>
      <c r="J29" s="75"/>
      <c r="K29" s="69"/>
      <c r="L29" s="69"/>
      <c r="M29" s="69"/>
      <c r="N29" s="69"/>
      <c r="O29" s="69"/>
      <c r="P29" s="69"/>
      <c r="Q29" s="69"/>
      <c r="W29" s="69"/>
      <c r="X29" s="69"/>
      <c r="Y29" s="69"/>
    </row>
    <row r="30" spans="1:24" ht="12.75">
      <c r="A30" s="97"/>
      <c r="B30" s="78"/>
      <c r="C30" s="113"/>
      <c r="D30" s="98"/>
      <c r="E30" s="99"/>
      <c r="F30" s="98"/>
      <c r="G30" s="99"/>
      <c r="H30" s="99"/>
      <c r="I30" s="99"/>
      <c r="J30" s="75"/>
      <c r="K30" s="99"/>
      <c r="L30" s="99"/>
      <c r="M30" s="99"/>
      <c r="N30" s="99"/>
      <c r="O30" s="99"/>
      <c r="Q30" s="99"/>
      <c r="W30" s="99"/>
      <c r="X30" s="99"/>
    </row>
    <row r="31" spans="1:24" ht="12.75">
      <c r="A31" s="144"/>
      <c r="B31" s="78"/>
      <c r="C31" s="113"/>
      <c r="D31" s="127"/>
      <c r="E31" s="110"/>
      <c r="F31" s="127"/>
      <c r="G31" s="110"/>
      <c r="H31" s="110"/>
      <c r="I31" s="110"/>
      <c r="J31" s="75"/>
      <c r="K31" s="110"/>
      <c r="L31" s="110"/>
      <c r="M31" s="110"/>
      <c r="N31" s="110"/>
      <c r="O31" s="110"/>
      <c r="Q31" s="110"/>
      <c r="W31" s="110"/>
      <c r="X31" s="110"/>
    </row>
    <row r="32" spans="1:24" ht="12.75">
      <c r="A32" s="144"/>
      <c r="B32" s="78"/>
      <c r="C32" s="113"/>
      <c r="D32" s="127"/>
      <c r="E32" s="110"/>
      <c r="F32" s="127"/>
      <c r="G32" s="110"/>
      <c r="H32" s="110"/>
      <c r="I32" s="110"/>
      <c r="J32" s="75"/>
      <c r="K32" s="110"/>
      <c r="L32" s="110"/>
      <c r="M32" s="110"/>
      <c r="N32" s="110"/>
      <c r="O32" s="110"/>
      <c r="Q32" s="110"/>
      <c r="W32" s="110"/>
      <c r="X32" s="110"/>
    </row>
    <row r="33" spans="1:24" ht="12.75">
      <c r="A33" s="126"/>
      <c r="B33" s="87"/>
      <c r="C33" s="87"/>
      <c r="D33" s="127"/>
      <c r="E33" s="128"/>
      <c r="F33" s="127"/>
      <c r="G33" s="128"/>
      <c r="H33" s="128"/>
      <c r="I33" s="128"/>
      <c r="J33" s="75"/>
      <c r="K33" s="128"/>
      <c r="L33" s="128"/>
      <c r="M33" s="128"/>
      <c r="N33" s="128"/>
      <c r="O33" s="128"/>
      <c r="Q33" s="128"/>
      <c r="W33" s="128"/>
      <c r="X33" s="128"/>
    </row>
    <row r="34" spans="1:24" ht="12.75">
      <c r="A34" s="117"/>
      <c r="B34" s="78"/>
      <c r="C34" s="113"/>
      <c r="D34" s="109"/>
      <c r="E34" s="110"/>
      <c r="F34" s="109"/>
      <c r="G34" s="110"/>
      <c r="H34" s="110"/>
      <c r="I34" s="110"/>
      <c r="J34" s="75"/>
      <c r="K34" s="110"/>
      <c r="L34" s="110"/>
      <c r="M34" s="110"/>
      <c r="N34" s="110"/>
      <c r="O34" s="110"/>
      <c r="Q34" s="110"/>
      <c r="W34" s="110"/>
      <c r="X34" s="110"/>
    </row>
    <row r="35" spans="1:24" ht="12.75">
      <c r="A35" s="117"/>
      <c r="B35" s="78"/>
      <c r="C35" s="113"/>
      <c r="D35" s="109"/>
      <c r="E35" s="110"/>
      <c r="F35" s="109"/>
      <c r="G35" s="110"/>
      <c r="H35" s="110"/>
      <c r="I35" s="110"/>
      <c r="J35" s="75"/>
      <c r="K35" s="110"/>
      <c r="L35" s="110"/>
      <c r="M35" s="110"/>
      <c r="N35" s="110"/>
      <c r="O35" s="110"/>
      <c r="Q35" s="110"/>
      <c r="W35" s="110"/>
      <c r="X35" s="110"/>
    </row>
    <row r="36" spans="1:24" ht="12.75">
      <c r="A36" s="117"/>
      <c r="B36" s="78"/>
      <c r="C36" s="113"/>
      <c r="D36" s="109"/>
      <c r="E36" s="110"/>
      <c r="F36" s="109"/>
      <c r="G36" s="110"/>
      <c r="H36" s="110"/>
      <c r="I36" s="110"/>
      <c r="J36" s="75"/>
      <c r="K36" s="110"/>
      <c r="L36" s="110"/>
      <c r="M36" s="110"/>
      <c r="N36" s="110"/>
      <c r="O36" s="110"/>
      <c r="Q36" s="110"/>
      <c r="W36" s="110"/>
      <c r="X36" s="110"/>
    </row>
    <row r="37" spans="1:24" ht="12.75">
      <c r="A37" s="117"/>
      <c r="B37" s="78"/>
      <c r="C37" s="113"/>
      <c r="D37" s="109"/>
      <c r="E37" s="110"/>
      <c r="F37" s="109"/>
      <c r="G37" s="110"/>
      <c r="H37" s="110"/>
      <c r="I37" s="110"/>
      <c r="J37" s="75"/>
      <c r="K37" s="110"/>
      <c r="L37" s="110"/>
      <c r="M37" s="110"/>
      <c r="N37" s="110"/>
      <c r="O37" s="110"/>
      <c r="Q37" s="110"/>
      <c r="W37" s="110"/>
      <c r="X37" s="110"/>
    </row>
    <row r="38" spans="1:24" ht="12.75">
      <c r="A38" s="117"/>
      <c r="B38" s="78"/>
      <c r="C38" s="113"/>
      <c r="D38" s="109"/>
      <c r="E38" s="110"/>
      <c r="F38" s="109"/>
      <c r="G38" s="110"/>
      <c r="H38" s="110"/>
      <c r="I38" s="110"/>
      <c r="J38" s="75"/>
      <c r="K38" s="110"/>
      <c r="L38" s="110"/>
      <c r="M38" s="110"/>
      <c r="N38" s="110"/>
      <c r="O38" s="110"/>
      <c r="Q38" s="110"/>
      <c r="W38" s="110"/>
      <c r="X38" s="110"/>
    </row>
    <row r="39" spans="1:24" ht="12.75">
      <c r="A39" s="117"/>
      <c r="B39" s="78"/>
      <c r="C39" s="113"/>
      <c r="D39" s="109"/>
      <c r="E39" s="110"/>
      <c r="F39" s="109"/>
      <c r="G39" s="110"/>
      <c r="H39" s="110"/>
      <c r="I39" s="110"/>
      <c r="J39" s="75"/>
      <c r="K39" s="110"/>
      <c r="L39" s="110"/>
      <c r="M39" s="110"/>
      <c r="N39" s="110"/>
      <c r="O39" s="110"/>
      <c r="Q39" s="110"/>
      <c r="W39" s="110"/>
      <c r="X39" s="110"/>
    </row>
    <row r="40" spans="1:24" ht="12.75">
      <c r="A40" s="117"/>
      <c r="B40" s="78"/>
      <c r="C40" s="113"/>
      <c r="D40" s="98"/>
      <c r="E40" s="110"/>
      <c r="F40" s="98"/>
      <c r="G40" s="110"/>
      <c r="H40" s="110"/>
      <c r="I40" s="110"/>
      <c r="J40" s="75"/>
      <c r="K40" s="110"/>
      <c r="L40" s="110"/>
      <c r="M40" s="110"/>
      <c r="N40" s="110"/>
      <c r="O40" s="110"/>
      <c r="Q40" s="110"/>
      <c r="W40" s="110"/>
      <c r="X40" s="110"/>
    </row>
    <row r="41" spans="1:24" ht="12.75">
      <c r="A41" s="97"/>
      <c r="B41" s="78"/>
      <c r="C41" s="113"/>
      <c r="D41" s="98"/>
      <c r="E41" s="99"/>
      <c r="F41" s="98"/>
      <c r="G41" s="99"/>
      <c r="H41" s="99"/>
      <c r="I41" s="99"/>
      <c r="J41" s="75"/>
      <c r="K41" s="99"/>
      <c r="L41" s="99"/>
      <c r="M41" s="99"/>
      <c r="N41" s="99"/>
      <c r="O41" s="99"/>
      <c r="Q41" s="99"/>
      <c r="W41" s="99"/>
      <c r="X41" s="99"/>
    </row>
    <row r="42" spans="1:24" ht="12.75">
      <c r="A42" s="126"/>
      <c r="B42" s="78"/>
      <c r="C42" s="113"/>
      <c r="D42" s="127"/>
      <c r="E42" s="128"/>
      <c r="F42" s="127"/>
      <c r="G42" s="128"/>
      <c r="H42" s="128"/>
      <c r="I42" s="128"/>
      <c r="J42" s="75"/>
      <c r="K42" s="128"/>
      <c r="L42" s="128"/>
      <c r="M42" s="128"/>
      <c r="N42" s="128"/>
      <c r="O42" s="128"/>
      <c r="Q42" s="128"/>
      <c r="W42" s="128"/>
      <c r="X42" s="128"/>
    </row>
    <row r="43" spans="1:24" ht="12.75">
      <c r="A43" s="117"/>
      <c r="B43" s="78"/>
      <c r="C43" s="113"/>
      <c r="D43" s="109"/>
      <c r="E43" s="110"/>
      <c r="F43" s="109"/>
      <c r="G43" s="110"/>
      <c r="H43" s="110"/>
      <c r="I43" s="110"/>
      <c r="J43" s="75"/>
      <c r="K43" s="110"/>
      <c r="L43" s="110"/>
      <c r="M43" s="110"/>
      <c r="N43" s="110"/>
      <c r="O43" s="110"/>
      <c r="Q43" s="110"/>
      <c r="W43" s="110"/>
      <c r="X43" s="110"/>
    </row>
    <row r="44" spans="1:24" ht="12.75">
      <c r="A44" s="117"/>
      <c r="B44" s="78"/>
      <c r="C44" s="113"/>
      <c r="D44" s="109"/>
      <c r="E44" s="110"/>
      <c r="F44" s="109"/>
      <c r="G44" s="110"/>
      <c r="H44" s="110"/>
      <c r="I44" s="110"/>
      <c r="J44" s="75"/>
      <c r="K44" s="110"/>
      <c r="L44" s="110"/>
      <c r="M44" s="110"/>
      <c r="N44" s="110"/>
      <c r="O44" s="110"/>
      <c r="Q44" s="110"/>
      <c r="W44" s="110"/>
      <c r="X44" s="110"/>
    </row>
    <row r="45" spans="1:24" ht="12.75">
      <c r="A45" s="117"/>
      <c r="B45" s="78"/>
      <c r="C45" s="113"/>
      <c r="D45" s="109"/>
      <c r="E45" s="110"/>
      <c r="F45" s="109"/>
      <c r="G45" s="110"/>
      <c r="H45" s="110"/>
      <c r="I45" s="110"/>
      <c r="J45" s="75"/>
      <c r="K45" s="110"/>
      <c r="L45" s="110"/>
      <c r="M45" s="110"/>
      <c r="N45" s="110"/>
      <c r="O45" s="110"/>
      <c r="Q45" s="110"/>
      <c r="W45" s="110"/>
      <c r="X45" s="110"/>
    </row>
    <row r="46" spans="1:24" ht="12.75">
      <c r="A46" s="117"/>
      <c r="B46" s="78"/>
      <c r="C46" s="113"/>
      <c r="D46" s="109"/>
      <c r="E46" s="110"/>
      <c r="F46" s="109"/>
      <c r="G46" s="110"/>
      <c r="H46" s="110"/>
      <c r="I46" s="110"/>
      <c r="J46" s="75"/>
      <c r="K46" s="110"/>
      <c r="L46" s="110"/>
      <c r="M46" s="110"/>
      <c r="N46" s="110"/>
      <c r="O46" s="110"/>
      <c r="Q46" s="110"/>
      <c r="W46" s="110"/>
      <c r="X46" s="110"/>
    </row>
    <row r="47" spans="1:24" ht="12.75">
      <c r="A47" s="117"/>
      <c r="B47" s="78"/>
      <c r="C47" s="113"/>
      <c r="D47" s="109"/>
      <c r="E47" s="110"/>
      <c r="F47" s="109"/>
      <c r="G47" s="110"/>
      <c r="H47" s="110"/>
      <c r="I47" s="110"/>
      <c r="J47" s="75"/>
      <c r="K47" s="110"/>
      <c r="L47" s="110"/>
      <c r="M47" s="110"/>
      <c r="N47" s="110"/>
      <c r="O47" s="110"/>
      <c r="Q47" s="110"/>
      <c r="W47" s="110"/>
      <c r="X47" s="110"/>
    </row>
    <row r="48" spans="1:24" ht="12.75">
      <c r="A48" s="117"/>
      <c r="B48" s="78"/>
      <c r="C48" s="113"/>
      <c r="D48" s="127"/>
      <c r="E48" s="110"/>
      <c r="F48" s="127"/>
      <c r="G48" s="110"/>
      <c r="H48" s="110"/>
      <c r="I48" s="110"/>
      <c r="J48" s="75"/>
      <c r="K48" s="110"/>
      <c r="L48" s="110"/>
      <c r="M48" s="110"/>
      <c r="N48" s="110"/>
      <c r="O48" s="110"/>
      <c r="Q48" s="110"/>
      <c r="W48" s="110"/>
      <c r="X48" s="110"/>
    </row>
    <row r="49" spans="1:24" s="67" customFormat="1" ht="12.75">
      <c r="A49" s="126"/>
      <c r="B49" s="142"/>
      <c r="C49" s="105"/>
      <c r="D49" s="127"/>
      <c r="E49" s="128"/>
      <c r="F49" s="127"/>
      <c r="G49" s="128"/>
      <c r="H49" s="128"/>
      <c r="I49" s="128"/>
      <c r="J49" s="75"/>
      <c r="K49" s="128"/>
      <c r="L49" s="128"/>
      <c r="M49" s="128"/>
      <c r="N49" s="128"/>
      <c r="O49" s="128"/>
      <c r="Q49" s="128"/>
      <c r="W49" s="128"/>
      <c r="X49" s="128"/>
    </row>
    <row r="50" spans="1:24" ht="12.75">
      <c r="A50" s="117"/>
      <c r="B50" s="78"/>
      <c r="C50" s="113"/>
      <c r="D50" s="109"/>
      <c r="E50" s="110"/>
      <c r="F50" s="109"/>
      <c r="G50" s="110"/>
      <c r="H50" s="110"/>
      <c r="I50" s="110"/>
      <c r="J50" s="75"/>
      <c r="K50" s="110"/>
      <c r="L50" s="110"/>
      <c r="M50" s="110"/>
      <c r="N50" s="110"/>
      <c r="O50" s="110"/>
      <c r="Q50" s="110"/>
      <c r="W50" s="110"/>
      <c r="X50" s="110"/>
    </row>
    <row r="51" spans="1:24" ht="12.75">
      <c r="A51" s="117"/>
      <c r="B51" s="78"/>
      <c r="C51" s="113"/>
      <c r="D51" s="109"/>
      <c r="E51" s="110"/>
      <c r="F51" s="109"/>
      <c r="G51" s="110"/>
      <c r="H51" s="110"/>
      <c r="I51" s="110"/>
      <c r="J51" s="75"/>
      <c r="K51" s="110"/>
      <c r="L51" s="110"/>
      <c r="M51" s="110"/>
      <c r="N51" s="110"/>
      <c r="O51" s="110"/>
      <c r="Q51" s="110"/>
      <c r="W51" s="110"/>
      <c r="X51" s="110"/>
    </row>
    <row r="52" ht="12.75">
      <c r="J52" s="75"/>
    </row>
    <row r="53" ht="12.75">
      <c r="J53" s="75"/>
    </row>
    <row r="54" ht="12.75">
      <c r="J54" s="75"/>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E30"/>
  <sheetViews>
    <sheetView workbookViewId="0" topLeftCell="A1">
      <selection activeCell="A30" sqref="A30"/>
    </sheetView>
  </sheetViews>
  <sheetFormatPr defaultColWidth="9.140625" defaultRowHeight="12.75"/>
  <cols>
    <col min="1" max="1" width="9.140625" style="13" customWidth="1"/>
    <col min="4" max="4" width="13.00390625" style="0" customWidth="1"/>
  </cols>
  <sheetData>
    <row r="1" ht="12.75">
      <c r="A1" s="22" t="s">
        <v>513</v>
      </c>
    </row>
    <row r="2" ht="12.75">
      <c r="A2" s="22"/>
    </row>
    <row r="3" spans="1:5" ht="12.75">
      <c r="A3" s="22"/>
      <c r="C3" t="s">
        <v>188</v>
      </c>
      <c r="D3" t="s">
        <v>189</v>
      </c>
      <c r="E3" t="s">
        <v>190</v>
      </c>
    </row>
    <row r="4" ht="12.75">
      <c r="A4" s="22"/>
    </row>
    <row r="5" spans="1:5" ht="12.75">
      <c r="A5" s="13">
        <v>1993</v>
      </c>
      <c r="C5" s="11">
        <v>11.018682091716697</v>
      </c>
      <c r="D5" s="27">
        <f>EXP(0.134*4+MIN(C5-4,4)*0.101+MAX(0,(C5-8))*0.068)</f>
        <v>3.143291132038921</v>
      </c>
      <c r="E5" s="1">
        <f>D5/3.1433</f>
        <v>0.9999971787735569</v>
      </c>
    </row>
    <row r="6" spans="1:5" ht="12.75">
      <c r="A6" s="13">
        <f>A5+1</f>
        <v>1994</v>
      </c>
      <c r="C6" s="11">
        <v>11.060318601975831</v>
      </c>
      <c r="D6" s="11">
        <f aca="true" t="shared" si="0" ref="D6:D25">EXP(0.134*4+MIN(C6-4,4)*0.101+MAX(0,(C6-8))*0.068)</f>
        <v>3.152203288298117</v>
      </c>
      <c r="E6" s="1">
        <f aca="true" t="shared" si="1" ref="E6:E14">D6/3.1433</f>
        <v>1.002832465338376</v>
      </c>
    </row>
    <row r="7" spans="1:5" ht="12.75">
      <c r="A7" s="13">
        <f aca="true" t="shared" si="2" ref="A7:A25">A6+1</f>
        <v>1995</v>
      </c>
      <c r="C7" s="11">
        <v>11.054638990294388</v>
      </c>
      <c r="D7" s="11">
        <f t="shared" si="0"/>
        <v>3.1509860995986</v>
      </c>
      <c r="E7" s="1">
        <f t="shared" si="1"/>
        <v>1.002445232589508</v>
      </c>
    </row>
    <row r="8" spans="1:5" ht="12.75">
      <c r="A8" s="13">
        <f t="shared" si="2"/>
        <v>1996</v>
      </c>
      <c r="C8" s="11">
        <v>11.114283793713515</v>
      </c>
      <c r="D8" s="11">
        <f t="shared" si="0"/>
        <v>3.1637919677236788</v>
      </c>
      <c r="E8" s="1">
        <f t="shared" si="1"/>
        <v>1.00651925292644</v>
      </c>
    </row>
    <row r="9" spans="1:5" ht="12.75">
      <c r="A9" s="13">
        <f t="shared" si="2"/>
        <v>1997</v>
      </c>
      <c r="C9" s="11">
        <v>11.088032436956896</v>
      </c>
      <c r="D9" s="11">
        <f t="shared" si="0"/>
        <v>3.1581493449710605</v>
      </c>
      <c r="E9" s="1">
        <f t="shared" si="1"/>
        <v>1.0047241259094137</v>
      </c>
    </row>
    <row r="10" spans="1:5" ht="12.75">
      <c r="A10" s="13">
        <f t="shared" si="2"/>
        <v>1998</v>
      </c>
      <c r="C10" s="11">
        <v>11.223232282862782</v>
      </c>
      <c r="D10" s="11">
        <f t="shared" si="0"/>
        <v>3.1873179503399776</v>
      </c>
      <c r="E10" s="1">
        <f t="shared" si="1"/>
        <v>1.0140037382177896</v>
      </c>
    </row>
    <row r="11" spans="1:5" ht="12.75">
      <c r="A11" s="13">
        <f t="shared" si="2"/>
        <v>1999</v>
      </c>
      <c r="C11" s="11">
        <v>11.340527082827302</v>
      </c>
      <c r="D11" s="11">
        <f t="shared" si="0"/>
        <v>3.212841800589576</v>
      </c>
      <c r="E11" s="1">
        <f t="shared" si="1"/>
        <v>1.0221238191039914</v>
      </c>
    </row>
    <row r="12" spans="1:5" ht="12.75">
      <c r="A12" s="13">
        <f t="shared" si="2"/>
        <v>2000</v>
      </c>
      <c r="C12" s="11">
        <v>11.42267180746884</v>
      </c>
      <c r="D12" s="11">
        <f t="shared" si="0"/>
        <v>3.2308384413270135</v>
      </c>
      <c r="E12" s="1">
        <f t="shared" si="1"/>
        <v>1.0278492162144923</v>
      </c>
    </row>
    <row r="13" spans="1:5" ht="12.75">
      <c r="A13" s="13">
        <f t="shared" si="2"/>
        <v>2001</v>
      </c>
      <c r="C13" s="11">
        <v>11.44772438802509</v>
      </c>
      <c r="D13" s="11">
        <f t="shared" si="0"/>
        <v>3.2363471093520966</v>
      </c>
      <c r="E13" s="1">
        <f t="shared" si="1"/>
        <v>1.0296017272777325</v>
      </c>
    </row>
    <row r="14" spans="1:5" ht="12.75">
      <c r="A14" s="13">
        <f t="shared" si="2"/>
        <v>2002</v>
      </c>
      <c r="C14" s="11">
        <v>11.575058748158742</v>
      </c>
      <c r="D14" s="11">
        <f t="shared" si="0"/>
        <v>3.2644914575663067</v>
      </c>
      <c r="E14" s="1">
        <f t="shared" si="1"/>
        <v>1.038555485498141</v>
      </c>
    </row>
    <row r="15" spans="1:5" ht="12.75">
      <c r="A15" s="13">
        <f t="shared" si="2"/>
        <v>2003</v>
      </c>
      <c r="C15" s="11"/>
      <c r="D15" s="11"/>
      <c r="E15" s="1"/>
    </row>
    <row r="16" spans="1:5" ht="12.75">
      <c r="A16" s="13">
        <f t="shared" si="2"/>
        <v>2004</v>
      </c>
      <c r="C16" s="11"/>
      <c r="D16" s="11"/>
      <c r="E16" s="1"/>
    </row>
    <row r="17" spans="1:5" ht="12.75">
      <c r="A17" s="13">
        <f t="shared" si="2"/>
        <v>2005</v>
      </c>
      <c r="C17" s="11"/>
      <c r="D17" s="11"/>
      <c r="E17" s="1"/>
    </row>
    <row r="18" spans="1:5" ht="12.75">
      <c r="A18" s="13">
        <f t="shared" si="2"/>
        <v>2006</v>
      </c>
      <c r="C18" s="11"/>
      <c r="D18" s="11"/>
      <c r="E18" s="1"/>
    </row>
    <row r="19" spans="1:5" ht="12.75">
      <c r="A19" s="13">
        <f t="shared" si="2"/>
        <v>2007</v>
      </c>
      <c r="C19" s="11"/>
      <c r="D19" s="11"/>
      <c r="E19" s="1"/>
    </row>
    <row r="20" spans="1:5" ht="12.75">
      <c r="A20" s="13">
        <f t="shared" si="2"/>
        <v>2008</v>
      </c>
      <c r="C20" s="11"/>
      <c r="D20" s="11"/>
      <c r="E20" s="1"/>
    </row>
    <row r="21" spans="1:5" ht="12.75">
      <c r="A21" s="13">
        <f t="shared" si="2"/>
        <v>2009</v>
      </c>
      <c r="C21" s="11"/>
      <c r="D21" s="11"/>
      <c r="E21" s="1"/>
    </row>
    <row r="22" spans="1:5" ht="12.75">
      <c r="A22" s="13">
        <f t="shared" si="2"/>
        <v>2010</v>
      </c>
      <c r="C22" s="11"/>
      <c r="D22" s="11"/>
      <c r="E22" s="1"/>
    </row>
    <row r="23" spans="1:5" ht="12.75">
      <c r="A23" s="13">
        <f t="shared" si="2"/>
        <v>2011</v>
      </c>
      <c r="C23" s="11"/>
      <c r="D23" s="11"/>
      <c r="E23" s="1"/>
    </row>
    <row r="24" spans="1:5" ht="12.75">
      <c r="A24" s="13">
        <f t="shared" si="2"/>
        <v>2012</v>
      </c>
      <c r="C24" s="11"/>
      <c r="D24" s="11"/>
      <c r="E24" s="1"/>
    </row>
    <row r="25" spans="1:5" ht="12.75">
      <c r="A25" s="13">
        <f t="shared" si="2"/>
        <v>2013</v>
      </c>
      <c r="C25" s="11">
        <v>12.3582315592698</v>
      </c>
      <c r="D25" s="11">
        <f t="shared" si="0"/>
        <v>3.443057022315635</v>
      </c>
      <c r="E25" s="1">
        <f>D25/3.1433</f>
        <v>1.0953637967472514</v>
      </c>
    </row>
    <row r="27" spans="3:5" ht="12.75">
      <c r="C27" t="s">
        <v>191</v>
      </c>
      <c r="E27">
        <f>EXP(1/9*LN(E14/E5))-1</f>
        <v>0.004212582824426159</v>
      </c>
    </row>
    <row r="28" spans="3:5" ht="12.75">
      <c r="C28" t="s">
        <v>192</v>
      </c>
      <c r="E28">
        <f>EXP(1/11*LN(E25/E14))-1</f>
        <v>0.0048531705911072365</v>
      </c>
    </row>
    <row r="30" ht="12.75">
      <c r="A30" s="22" t="s">
        <v>514</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sheetPr>
    <pageSetUpPr fitToPage="1"/>
  </sheetPr>
  <dimension ref="A1:O53"/>
  <sheetViews>
    <sheetView workbookViewId="0" topLeftCell="A22">
      <selection activeCell="F53" sqref="F53"/>
    </sheetView>
  </sheetViews>
  <sheetFormatPr defaultColWidth="9.140625" defaultRowHeight="12.75"/>
  <cols>
    <col min="1" max="3" width="9.140625" style="23" customWidth="1"/>
    <col min="4" max="4" width="11.8515625" style="23" bestFit="1" customWidth="1"/>
    <col min="5" max="5" width="10.7109375" style="23" bestFit="1" customWidth="1"/>
    <col min="6" max="6" width="10.28125" style="23" bestFit="1" customWidth="1"/>
    <col min="7" max="8" width="9.140625" style="23" customWidth="1"/>
    <col min="9" max="9" width="10.7109375" style="23" bestFit="1" customWidth="1"/>
    <col min="10" max="16384" width="9.140625" style="23" customWidth="1"/>
  </cols>
  <sheetData>
    <row r="1" spans="1:10" ht="13.5">
      <c r="A1" s="152" t="s">
        <v>357</v>
      </c>
      <c r="B1" s="152"/>
      <c r="C1" s="152"/>
      <c r="D1" s="152"/>
      <c r="E1" s="152"/>
      <c r="F1" s="152"/>
      <c r="G1" s="152"/>
      <c r="H1" s="152"/>
      <c r="I1" s="152"/>
      <c r="J1" s="152"/>
    </row>
    <row r="2" spans="1:10" ht="12.75">
      <c r="A2" s="152" t="s">
        <v>352</v>
      </c>
      <c r="B2" s="152"/>
      <c r="C2" s="152"/>
      <c r="D2" s="152"/>
      <c r="E2" s="152"/>
      <c r="F2" s="152"/>
      <c r="G2" s="152"/>
      <c r="H2" s="152"/>
      <c r="I2" s="152"/>
      <c r="J2" s="152"/>
    </row>
    <row r="3" spans="1:10" ht="13.5">
      <c r="A3" s="153" t="s">
        <v>358</v>
      </c>
      <c r="B3" s="152"/>
      <c r="C3" s="152"/>
      <c r="D3" s="152"/>
      <c r="E3" s="152"/>
      <c r="F3" s="152"/>
      <c r="G3" s="152"/>
      <c r="H3" s="152"/>
      <c r="I3" s="152"/>
      <c r="J3" s="152"/>
    </row>
    <row r="4" spans="1:10" ht="12.75">
      <c r="A4" s="153" t="s">
        <v>353</v>
      </c>
      <c r="B4" s="152"/>
      <c r="C4" s="152"/>
      <c r="D4" s="152"/>
      <c r="E4" s="152"/>
      <c r="F4" s="152"/>
      <c r="G4" s="152"/>
      <c r="H4" s="152"/>
      <c r="I4" s="152"/>
      <c r="J4" s="152"/>
    </row>
    <row r="5" spans="1:10" ht="12.75">
      <c r="A5" s="31"/>
      <c r="B5" s="31"/>
      <c r="C5" s="31"/>
      <c r="D5" s="31"/>
      <c r="E5" s="31"/>
      <c r="F5" s="31"/>
      <c r="G5" s="31"/>
      <c r="H5" s="31"/>
      <c r="I5" s="31"/>
      <c r="J5" s="31"/>
    </row>
    <row r="6" spans="1:10" ht="12.75">
      <c r="A6" s="32"/>
      <c r="B6" s="33"/>
      <c r="C6" s="34" t="s">
        <v>209</v>
      </c>
      <c r="D6" s="35"/>
      <c r="E6" s="35"/>
      <c r="F6" s="35"/>
      <c r="G6" s="35"/>
      <c r="H6" s="35"/>
      <c r="I6" s="35"/>
      <c r="J6" s="36"/>
    </row>
    <row r="7" spans="1:10" ht="12.75">
      <c r="A7" s="37"/>
      <c r="B7" s="38" t="s">
        <v>210</v>
      </c>
      <c r="C7" s="39" t="s">
        <v>211</v>
      </c>
      <c r="D7" s="40"/>
      <c r="E7" s="40"/>
      <c r="F7" s="40"/>
      <c r="G7" s="40"/>
      <c r="H7" s="40"/>
      <c r="I7" s="40"/>
      <c r="J7" s="41"/>
    </row>
    <row r="8" spans="1:10" ht="12.75">
      <c r="A8" s="37"/>
      <c r="B8" s="38"/>
      <c r="C8" s="42" t="s">
        <v>212</v>
      </c>
      <c r="D8" s="43"/>
      <c r="E8" s="43"/>
      <c r="F8" s="43"/>
      <c r="G8" s="43"/>
      <c r="H8" s="43"/>
      <c r="I8" s="43"/>
      <c r="J8" s="44"/>
    </row>
    <row r="9" spans="1:10" ht="12.75">
      <c r="A9" s="37"/>
      <c r="B9" s="38"/>
      <c r="C9" s="45" t="s">
        <v>213</v>
      </c>
      <c r="D9" s="40" t="s">
        <v>214</v>
      </c>
      <c r="E9" s="45" t="s">
        <v>215</v>
      </c>
      <c r="F9" s="40" t="s">
        <v>216</v>
      </c>
      <c r="G9" s="45" t="s">
        <v>217</v>
      </c>
      <c r="H9" s="40" t="s">
        <v>218</v>
      </c>
      <c r="I9" s="45" t="s">
        <v>219</v>
      </c>
      <c r="J9" s="41" t="s">
        <v>220</v>
      </c>
    </row>
    <row r="10" spans="1:12" ht="12.75">
      <c r="A10" s="37"/>
      <c r="B10" s="46" t="s">
        <v>61</v>
      </c>
      <c r="C10" s="47" t="s">
        <v>221</v>
      </c>
      <c r="D10" s="48" t="s">
        <v>222</v>
      </c>
      <c r="E10" s="47" t="s">
        <v>223</v>
      </c>
      <c r="F10" s="48" t="s">
        <v>224</v>
      </c>
      <c r="G10" s="47" t="s">
        <v>225</v>
      </c>
      <c r="H10" s="48" t="s">
        <v>226</v>
      </c>
      <c r="I10" s="47" t="s">
        <v>62</v>
      </c>
      <c r="J10" s="49" t="s">
        <v>63</v>
      </c>
      <c r="L10" s="24"/>
    </row>
    <row r="11" spans="1:15" ht="12.75">
      <c r="A11" s="37"/>
      <c r="B11" s="46"/>
      <c r="C11" s="47" t="s">
        <v>228</v>
      </c>
      <c r="D11" s="48" t="s">
        <v>228</v>
      </c>
      <c r="E11" s="47" t="s">
        <v>229</v>
      </c>
      <c r="F11" s="48" t="s">
        <v>230</v>
      </c>
      <c r="G11" s="47" t="s">
        <v>226</v>
      </c>
      <c r="H11" s="48" t="s">
        <v>64</v>
      </c>
      <c r="I11" s="47" t="s">
        <v>64</v>
      </c>
      <c r="J11" s="49" t="s">
        <v>64</v>
      </c>
      <c r="L11" s="24"/>
      <c r="M11" s="24"/>
      <c r="O11" s="24"/>
    </row>
    <row r="12" spans="1:10" ht="12.75">
      <c r="A12" s="50"/>
      <c r="B12" s="51"/>
      <c r="C12" s="51"/>
      <c r="D12" s="52"/>
      <c r="E12" s="53" t="s">
        <v>228</v>
      </c>
      <c r="F12" s="54" t="s">
        <v>228</v>
      </c>
      <c r="G12" s="53" t="s">
        <v>64</v>
      </c>
      <c r="H12" s="52"/>
      <c r="I12" s="51"/>
      <c r="J12" s="55"/>
    </row>
    <row r="13" spans="1:10" ht="12.75">
      <c r="A13" s="56"/>
      <c r="B13" s="56"/>
      <c r="C13" s="56"/>
      <c r="D13" s="56"/>
      <c r="E13" s="56"/>
      <c r="F13" s="56"/>
      <c r="G13" s="56"/>
      <c r="H13" s="56"/>
      <c r="I13" s="56"/>
      <c r="J13" s="56"/>
    </row>
    <row r="14" spans="1:10" ht="12.75">
      <c r="A14" s="57">
        <v>1966</v>
      </c>
      <c r="B14" s="56">
        <v>145</v>
      </c>
      <c r="C14" s="56">
        <v>274</v>
      </c>
      <c r="D14" s="56">
        <v>212</v>
      </c>
      <c r="E14" s="56">
        <v>164</v>
      </c>
      <c r="F14" s="56">
        <v>129</v>
      </c>
      <c r="G14" s="56">
        <v>186</v>
      </c>
      <c r="H14" s="56">
        <v>136</v>
      </c>
      <c r="I14" s="56">
        <v>111</v>
      </c>
      <c r="J14" s="56">
        <v>100</v>
      </c>
    </row>
    <row r="15" spans="1:10" ht="12.75">
      <c r="A15" s="57">
        <v>1967</v>
      </c>
      <c r="B15" s="56">
        <v>145</v>
      </c>
      <c r="C15" s="56">
        <v>286</v>
      </c>
      <c r="D15" s="56">
        <v>211</v>
      </c>
      <c r="E15" s="56">
        <v>160</v>
      </c>
      <c r="F15" s="56">
        <v>127</v>
      </c>
      <c r="G15" s="56">
        <v>185</v>
      </c>
      <c r="H15" s="56">
        <v>131</v>
      </c>
      <c r="I15" s="56">
        <v>106</v>
      </c>
      <c r="J15" s="56">
        <v>100</v>
      </c>
    </row>
    <row r="16" spans="1:10" ht="12.75">
      <c r="A16" s="57">
        <v>1968</v>
      </c>
      <c r="B16" s="56">
        <v>145</v>
      </c>
      <c r="C16" s="56">
        <v>281</v>
      </c>
      <c r="D16" s="56">
        <v>211</v>
      </c>
      <c r="E16" s="56">
        <v>162</v>
      </c>
      <c r="F16" s="56">
        <v>125</v>
      </c>
      <c r="G16" s="56">
        <v>185</v>
      </c>
      <c r="H16" s="56">
        <v>131</v>
      </c>
      <c r="I16" s="56">
        <v>111</v>
      </c>
      <c r="J16" s="56">
        <v>100</v>
      </c>
    </row>
    <row r="17" spans="1:10" ht="12.75">
      <c r="A17" s="57">
        <v>1969</v>
      </c>
      <c r="B17" s="56">
        <v>142</v>
      </c>
      <c r="C17" s="56">
        <v>273</v>
      </c>
      <c r="D17" s="56">
        <v>203</v>
      </c>
      <c r="E17" s="56">
        <v>156</v>
      </c>
      <c r="F17" s="56">
        <v>122</v>
      </c>
      <c r="G17" s="56">
        <v>180</v>
      </c>
      <c r="H17" s="56">
        <v>130</v>
      </c>
      <c r="I17" s="56">
        <v>105</v>
      </c>
      <c r="J17" s="56">
        <v>100</v>
      </c>
    </row>
    <row r="18" spans="1:10" ht="12.75">
      <c r="A18" s="57">
        <v>1970</v>
      </c>
      <c r="B18" s="56">
        <v>149</v>
      </c>
      <c r="C18" s="56">
        <v>291</v>
      </c>
      <c r="D18" s="56">
        <v>221</v>
      </c>
      <c r="E18" s="56">
        <v>167</v>
      </c>
      <c r="F18" s="56">
        <v>128</v>
      </c>
      <c r="G18" s="56">
        <v>189</v>
      </c>
      <c r="H18" s="56">
        <v>136</v>
      </c>
      <c r="I18" s="56">
        <v>108</v>
      </c>
      <c r="J18" s="56">
        <v>100</v>
      </c>
    </row>
    <row r="19" spans="1:10" ht="12.75">
      <c r="A19" s="57">
        <v>1971</v>
      </c>
      <c r="B19" s="56">
        <v>153</v>
      </c>
      <c r="C19" s="56">
        <v>289</v>
      </c>
      <c r="D19" s="56">
        <v>223</v>
      </c>
      <c r="E19" s="56">
        <v>174</v>
      </c>
      <c r="F19" s="56">
        <v>130</v>
      </c>
      <c r="G19" s="56">
        <v>193</v>
      </c>
      <c r="H19" s="56">
        <v>141</v>
      </c>
      <c r="I19" s="56">
        <v>110</v>
      </c>
      <c r="J19" s="56">
        <v>100</v>
      </c>
    </row>
    <row r="20" spans="1:10" ht="12.75">
      <c r="A20" s="57">
        <v>1972</v>
      </c>
      <c r="B20" s="56">
        <v>149</v>
      </c>
      <c r="C20" s="56">
        <v>279</v>
      </c>
      <c r="D20" s="56">
        <v>213</v>
      </c>
      <c r="E20" s="56">
        <v>169</v>
      </c>
      <c r="F20" s="56">
        <v>128</v>
      </c>
      <c r="G20" s="56">
        <v>189</v>
      </c>
      <c r="H20" s="56">
        <v>138</v>
      </c>
      <c r="I20" s="56">
        <v>109</v>
      </c>
      <c r="J20" s="56">
        <v>100</v>
      </c>
    </row>
    <row r="21" spans="1:10" ht="12.75">
      <c r="A21" s="57">
        <v>1973</v>
      </c>
      <c r="B21" s="56">
        <v>144</v>
      </c>
      <c r="C21" s="56">
        <v>256</v>
      </c>
      <c r="D21" s="56">
        <v>200</v>
      </c>
      <c r="E21" s="56">
        <v>163</v>
      </c>
      <c r="F21" s="56">
        <v>121</v>
      </c>
      <c r="G21" s="56">
        <v>173</v>
      </c>
      <c r="H21" s="56">
        <v>132</v>
      </c>
      <c r="I21" s="56">
        <v>106</v>
      </c>
      <c r="J21" s="56">
        <v>100</v>
      </c>
    </row>
    <row r="22" spans="1:10" ht="12.75">
      <c r="A22" s="57">
        <v>1974</v>
      </c>
      <c r="B22" s="56">
        <v>149</v>
      </c>
      <c r="C22" s="56">
        <v>274</v>
      </c>
      <c r="D22" s="56">
        <v>211</v>
      </c>
      <c r="E22" s="56">
        <v>170</v>
      </c>
      <c r="F22" s="56">
        <v>123</v>
      </c>
      <c r="G22" s="56">
        <v>182</v>
      </c>
      <c r="H22" s="56">
        <v>140</v>
      </c>
      <c r="I22" s="56">
        <v>112</v>
      </c>
      <c r="J22" s="56">
        <v>100</v>
      </c>
    </row>
    <row r="23" spans="1:10" ht="12.75">
      <c r="A23" s="57">
        <v>1976</v>
      </c>
      <c r="B23" s="56">
        <v>142</v>
      </c>
      <c r="C23" s="56">
        <v>253</v>
      </c>
      <c r="D23" s="56">
        <v>201</v>
      </c>
      <c r="E23" s="56">
        <v>160</v>
      </c>
      <c r="F23" s="56">
        <v>127</v>
      </c>
      <c r="G23" s="56">
        <v>172</v>
      </c>
      <c r="H23" s="56">
        <v>133</v>
      </c>
      <c r="I23" s="56">
        <v>106</v>
      </c>
      <c r="J23" s="56">
        <v>100</v>
      </c>
    </row>
    <row r="24" spans="1:10" ht="12.75">
      <c r="A24" s="57">
        <v>1978</v>
      </c>
      <c r="B24" s="56">
        <v>149</v>
      </c>
      <c r="C24" s="56">
        <v>264</v>
      </c>
      <c r="D24" s="56">
        <v>208</v>
      </c>
      <c r="E24" s="56">
        <v>165</v>
      </c>
      <c r="F24" s="56">
        <v>128</v>
      </c>
      <c r="G24" s="56">
        <v>175</v>
      </c>
      <c r="H24" s="56">
        <v>138</v>
      </c>
      <c r="I24" s="56">
        <v>111</v>
      </c>
      <c r="J24" s="56">
        <v>100</v>
      </c>
    </row>
    <row r="25" spans="1:10" ht="12.75">
      <c r="A25" s="57">
        <v>1981</v>
      </c>
      <c r="B25" s="56">
        <v>145</v>
      </c>
      <c r="C25" s="56">
        <v>249</v>
      </c>
      <c r="D25" s="56">
        <v>196</v>
      </c>
      <c r="E25" s="56">
        <v>157</v>
      </c>
      <c r="F25" s="56">
        <v>125</v>
      </c>
      <c r="G25" s="56">
        <v>168</v>
      </c>
      <c r="H25" s="56">
        <v>133</v>
      </c>
      <c r="I25" s="56">
        <v>110</v>
      </c>
      <c r="J25" s="56">
        <v>100</v>
      </c>
    </row>
    <row r="26" spans="1:10" ht="12.75">
      <c r="A26" s="57">
        <v>1983</v>
      </c>
      <c r="B26" s="56">
        <v>142</v>
      </c>
      <c r="C26" s="56">
        <v>236</v>
      </c>
      <c r="D26" s="56">
        <v>186</v>
      </c>
      <c r="E26" s="56">
        <v>152</v>
      </c>
      <c r="F26" s="56">
        <v>121</v>
      </c>
      <c r="G26" s="56">
        <v>160</v>
      </c>
      <c r="H26" s="56">
        <v>133</v>
      </c>
      <c r="I26" s="56">
        <v>111</v>
      </c>
      <c r="J26" s="56">
        <v>100</v>
      </c>
    </row>
    <row r="27" spans="1:10" ht="12.75">
      <c r="A27" s="57">
        <v>1985</v>
      </c>
      <c r="B27" s="56">
        <v>147</v>
      </c>
      <c r="C27" s="56">
        <v>247</v>
      </c>
      <c r="D27" s="56">
        <v>194</v>
      </c>
      <c r="E27" s="56">
        <v>157</v>
      </c>
      <c r="F27" s="56">
        <v>126</v>
      </c>
      <c r="G27" s="56">
        <v>162</v>
      </c>
      <c r="H27" s="56">
        <v>136</v>
      </c>
      <c r="I27" s="56">
        <v>112</v>
      </c>
      <c r="J27" s="56">
        <v>100</v>
      </c>
    </row>
    <row r="28" spans="1:10" ht="12.75">
      <c r="A28" s="57">
        <v>1986</v>
      </c>
      <c r="B28" s="56">
        <v>135</v>
      </c>
      <c r="C28" s="56">
        <v>224</v>
      </c>
      <c r="D28" s="56">
        <v>173</v>
      </c>
      <c r="E28" s="56">
        <v>142</v>
      </c>
      <c r="F28" s="56">
        <v>114</v>
      </c>
      <c r="G28" s="56">
        <v>143</v>
      </c>
      <c r="H28" s="56">
        <v>123</v>
      </c>
      <c r="I28" s="56">
        <v>104</v>
      </c>
      <c r="J28" s="56">
        <v>100</v>
      </c>
    </row>
    <row r="29" spans="1:10" ht="12.75">
      <c r="A29" s="57">
        <v>1988</v>
      </c>
      <c r="B29" s="56">
        <v>137</v>
      </c>
      <c r="C29" s="56">
        <v>228</v>
      </c>
      <c r="D29" s="56">
        <v>180</v>
      </c>
      <c r="E29" s="56">
        <v>146</v>
      </c>
      <c r="F29" s="56">
        <v>121</v>
      </c>
      <c r="G29" s="56">
        <v>146</v>
      </c>
      <c r="H29" s="56">
        <v>122</v>
      </c>
      <c r="I29" s="56">
        <v>107</v>
      </c>
      <c r="J29" s="56">
        <v>100</v>
      </c>
    </row>
    <row r="30" spans="1:10" ht="12.75">
      <c r="A30" s="57">
        <v>1990</v>
      </c>
      <c r="B30" s="56">
        <v>147</v>
      </c>
      <c r="C30" s="56">
        <v>264</v>
      </c>
      <c r="D30" s="56">
        <v>204</v>
      </c>
      <c r="E30" s="56">
        <v>163</v>
      </c>
      <c r="F30" s="56">
        <v>130</v>
      </c>
      <c r="G30" s="56">
        <v>142</v>
      </c>
      <c r="H30" s="56">
        <v>129</v>
      </c>
      <c r="I30" s="56">
        <v>107</v>
      </c>
      <c r="J30" s="56">
        <v>100</v>
      </c>
    </row>
    <row r="31" spans="1:10" ht="12.75">
      <c r="A31" s="57">
        <v>1991</v>
      </c>
      <c r="B31" s="56">
        <v>151</v>
      </c>
      <c r="C31" s="56">
        <v>279</v>
      </c>
      <c r="D31" s="56">
        <v>200</v>
      </c>
      <c r="E31" s="56">
        <v>163</v>
      </c>
      <c r="F31" s="56">
        <v>133</v>
      </c>
      <c r="G31" s="56">
        <v>141</v>
      </c>
      <c r="H31" s="56">
        <v>130</v>
      </c>
      <c r="I31" s="56">
        <v>107</v>
      </c>
      <c r="J31" s="56">
        <v>100</v>
      </c>
    </row>
    <row r="32" spans="1:10" ht="12.75">
      <c r="A32" s="57">
        <v>1992</v>
      </c>
      <c r="B32" s="56">
        <v>157</v>
      </c>
      <c r="C32" s="56">
        <v>290</v>
      </c>
      <c r="D32" s="56">
        <v>205</v>
      </c>
      <c r="E32" s="56">
        <v>167</v>
      </c>
      <c r="F32" s="56">
        <v>133</v>
      </c>
      <c r="G32" s="56">
        <v>145</v>
      </c>
      <c r="H32" s="56">
        <v>132</v>
      </c>
      <c r="I32" s="56">
        <v>108</v>
      </c>
      <c r="J32" s="56">
        <v>100</v>
      </c>
    </row>
    <row r="33" spans="1:13" ht="12.75">
      <c r="A33" s="57">
        <v>1993</v>
      </c>
      <c r="B33" s="56">
        <v>169</v>
      </c>
      <c r="C33" s="56">
        <v>330</v>
      </c>
      <c r="D33" s="56">
        <v>226</v>
      </c>
      <c r="E33" s="56">
        <v>174</v>
      </c>
      <c r="F33" s="56">
        <v>133</v>
      </c>
      <c r="G33" s="56">
        <v>148</v>
      </c>
      <c r="H33" s="56">
        <v>135</v>
      </c>
      <c r="I33" s="56">
        <v>106</v>
      </c>
      <c r="J33" s="56">
        <v>100</v>
      </c>
      <c r="M33" s="58"/>
    </row>
    <row r="34" spans="1:13" ht="12.75">
      <c r="A34" s="57">
        <v>1994</v>
      </c>
      <c r="B34" s="56">
        <v>170</v>
      </c>
      <c r="C34" s="56">
        <v>341</v>
      </c>
      <c r="D34" s="56">
        <v>222</v>
      </c>
      <c r="E34" s="56">
        <v>173</v>
      </c>
      <c r="F34" s="56">
        <v>136</v>
      </c>
      <c r="G34" s="56">
        <v>150</v>
      </c>
      <c r="H34" s="56">
        <v>133</v>
      </c>
      <c r="I34" s="56">
        <v>107</v>
      </c>
      <c r="J34" s="56">
        <v>100</v>
      </c>
      <c r="M34" s="58"/>
    </row>
    <row r="35" spans="1:13" ht="12.75">
      <c r="A35" s="57">
        <v>1995</v>
      </c>
      <c r="B35" s="56">
        <v>174</v>
      </c>
      <c r="C35" s="56">
        <v>349</v>
      </c>
      <c r="D35" s="56">
        <v>228</v>
      </c>
      <c r="E35" s="56">
        <v>177</v>
      </c>
      <c r="F35" s="56">
        <v>135</v>
      </c>
      <c r="G35" s="56">
        <v>150</v>
      </c>
      <c r="H35" s="56">
        <v>133</v>
      </c>
      <c r="I35" s="56">
        <v>109</v>
      </c>
      <c r="J35" s="56">
        <v>100</v>
      </c>
      <c r="M35" s="58"/>
    </row>
    <row r="36" spans="1:13" ht="12.75">
      <c r="A36" s="57">
        <v>1996</v>
      </c>
      <c r="B36" s="59">
        <v>175.77633276430498</v>
      </c>
      <c r="C36" s="59">
        <v>353.66892974888907</v>
      </c>
      <c r="D36" s="59">
        <v>227.21171764031328</v>
      </c>
      <c r="E36" s="59">
        <v>177.09248231016824</v>
      </c>
      <c r="F36" s="59">
        <v>130.08248739232982</v>
      </c>
      <c r="G36" s="59">
        <v>148.03294283219745</v>
      </c>
      <c r="H36" s="59">
        <v>130.32095805261991</v>
      </c>
      <c r="I36" s="59">
        <v>104.42017748472094</v>
      </c>
      <c r="J36" s="56">
        <v>100</v>
      </c>
      <c r="M36" s="58"/>
    </row>
    <row r="37" spans="1:13" ht="12.75">
      <c r="A37" s="57">
        <v>1997</v>
      </c>
      <c r="B37" s="59">
        <v>175.0425219599711</v>
      </c>
      <c r="C37" s="59">
        <v>390.5671147976421</v>
      </c>
      <c r="D37" s="59">
        <v>228.11808290034716</v>
      </c>
      <c r="E37" s="59">
        <v>168.83198583377992</v>
      </c>
      <c r="F37" s="59">
        <v>124.76292551084602</v>
      </c>
      <c r="G37" s="59">
        <v>149.55497565180923</v>
      </c>
      <c r="H37" s="59">
        <v>131.43363079288892</v>
      </c>
      <c r="I37" s="59">
        <v>107.56657890444792</v>
      </c>
      <c r="J37" s="56">
        <v>100</v>
      </c>
      <c r="M37" s="58"/>
    </row>
    <row r="38" spans="1:13" ht="12.75">
      <c r="A38" s="57">
        <v>1998</v>
      </c>
      <c r="B38" s="59">
        <v>182.39642351274787</v>
      </c>
      <c r="C38" s="59">
        <v>440.3870839235127</v>
      </c>
      <c r="D38" s="59">
        <v>240.92156515580737</v>
      </c>
      <c r="E38" s="59">
        <v>178.53996990084985</v>
      </c>
      <c r="F38" s="59">
        <v>129.14084631728045</v>
      </c>
      <c r="G38" s="59">
        <v>150.34857471671387</v>
      </c>
      <c r="H38" s="59">
        <v>132.75274433427762</v>
      </c>
      <c r="I38" s="59">
        <v>111.14221848441926</v>
      </c>
      <c r="J38" s="56">
        <v>100</v>
      </c>
      <c r="M38" s="58"/>
    </row>
    <row r="39" spans="1:13" ht="12.75">
      <c r="A39" s="57">
        <v>1999</v>
      </c>
      <c r="B39" s="59">
        <v>185</v>
      </c>
      <c r="C39" s="59">
        <v>371</v>
      </c>
      <c r="D39" s="59">
        <v>238.72380652276667</v>
      </c>
      <c r="E39" s="59">
        <v>181</v>
      </c>
      <c r="F39" s="59">
        <v>134.18938080983142</v>
      </c>
      <c r="G39" s="59">
        <v>153.15687201302453</v>
      </c>
      <c r="H39" s="59">
        <v>135</v>
      </c>
      <c r="I39" s="59">
        <v>117</v>
      </c>
      <c r="J39" s="56">
        <v>100</v>
      </c>
      <c r="M39" s="58"/>
    </row>
    <row r="40" spans="1:13" ht="12.75">
      <c r="A40" s="57">
        <v>2000</v>
      </c>
      <c r="B40" s="59">
        <v>190.90490032831917</v>
      </c>
      <c r="C40" s="59">
        <v>366.5904665142663</v>
      </c>
      <c r="D40" s="59">
        <v>246.7135156492535</v>
      </c>
      <c r="E40" s="59">
        <v>181.1098881457022</v>
      </c>
      <c r="F40" s="59">
        <v>131.49794447737045</v>
      </c>
      <c r="G40" s="59">
        <v>146.89696046058756</v>
      </c>
      <c r="H40" s="59">
        <v>131.41515912661455</v>
      </c>
      <c r="I40" s="59">
        <v>113.58150123707655</v>
      </c>
      <c r="J40" s="59">
        <v>100</v>
      </c>
      <c r="M40" s="58"/>
    </row>
    <row r="41" spans="1:13" ht="12.75">
      <c r="A41" s="60">
        <v>2001</v>
      </c>
      <c r="B41" s="61">
        <v>193.5288737012875</v>
      </c>
      <c r="C41" s="61">
        <v>366.5562113837976</v>
      </c>
      <c r="D41" s="61">
        <v>249.5003624313969</v>
      </c>
      <c r="E41" s="61">
        <v>180.44337440889166</v>
      </c>
      <c r="F41" s="61">
        <v>130.69448759103932</v>
      </c>
      <c r="G41" s="61">
        <v>140.5146525836181</v>
      </c>
      <c r="H41" s="61">
        <v>133.08912360636498</v>
      </c>
      <c r="I41" s="61">
        <v>113.36681509095303</v>
      </c>
      <c r="J41" s="61">
        <v>100</v>
      </c>
      <c r="M41" s="58"/>
    </row>
    <row r="42" spans="1:13" ht="12.75">
      <c r="A42" s="57"/>
      <c r="B42" s="59"/>
      <c r="C42" s="59"/>
      <c r="D42" s="59"/>
      <c r="E42" s="59"/>
      <c r="F42" s="59"/>
      <c r="G42" s="59"/>
      <c r="H42" s="59"/>
      <c r="I42" s="59"/>
      <c r="J42" s="59"/>
      <c r="M42" s="58"/>
    </row>
    <row r="43" spans="1:13" ht="12.75">
      <c r="A43" s="57" t="s">
        <v>354</v>
      </c>
      <c r="B43" s="59"/>
      <c r="C43" s="62">
        <f aca="true" t="shared" si="0" ref="C43:J43">1/8*LN(C41/C33)</f>
        <v>0.01313240357436061</v>
      </c>
      <c r="D43" s="62">
        <f t="shared" si="0"/>
        <v>0.012365671068635202</v>
      </c>
      <c r="E43" s="62">
        <f t="shared" si="0"/>
        <v>0.004545214269163447</v>
      </c>
      <c r="F43" s="62">
        <f t="shared" si="0"/>
        <v>-0.0021858355656359267</v>
      </c>
      <c r="G43" s="62">
        <f t="shared" si="0"/>
        <v>-0.00648756269708056</v>
      </c>
      <c r="H43" s="62">
        <f t="shared" si="0"/>
        <v>-0.0017819715414347913</v>
      </c>
      <c r="I43" s="62">
        <f t="shared" si="0"/>
        <v>0.008398702309137638</v>
      </c>
      <c r="J43" s="62">
        <f t="shared" si="0"/>
        <v>0</v>
      </c>
      <c r="M43" s="58"/>
    </row>
    <row r="44" spans="2:10" ht="12.75">
      <c r="B44" s="56"/>
      <c r="C44" s="56"/>
      <c r="D44" s="56"/>
      <c r="E44" s="56"/>
      <c r="F44" s="56"/>
      <c r="G44" s="56"/>
      <c r="H44" s="56"/>
      <c r="I44" s="56"/>
      <c r="J44" s="56"/>
    </row>
    <row r="45" spans="1:10" ht="12.75">
      <c r="A45" s="63" t="s">
        <v>355</v>
      </c>
      <c r="B45" s="56"/>
      <c r="C45" s="56"/>
      <c r="D45" s="56"/>
      <c r="E45" s="62">
        <f>(E43+G43)/2</f>
        <v>-0.0009711742139585562</v>
      </c>
      <c r="F45" s="56"/>
      <c r="G45" s="56"/>
      <c r="H45" s="56"/>
      <c r="I45" s="56"/>
      <c r="J45" s="56"/>
    </row>
    <row r="46" spans="1:11" ht="12.75">
      <c r="A46" s="64" t="s">
        <v>356</v>
      </c>
      <c r="B46" s="65"/>
      <c r="C46" s="65"/>
      <c r="D46" s="65"/>
      <c r="E46" s="65"/>
      <c r="F46" s="65"/>
      <c r="G46" s="65"/>
      <c r="H46" s="65"/>
      <c r="I46" s="65"/>
      <c r="J46" s="65"/>
      <c r="K46" s="24"/>
    </row>
    <row r="47" spans="1:15" ht="12.75">
      <c r="A47" s="65"/>
      <c r="B47" s="65"/>
      <c r="C47" s="65"/>
      <c r="D47" s="65"/>
      <c r="E47" s="65"/>
      <c r="F47" s="65"/>
      <c r="G47" s="65"/>
      <c r="H47" s="65"/>
      <c r="I47" s="65"/>
      <c r="J47" s="65"/>
      <c r="K47" s="24"/>
      <c r="L47" s="24"/>
      <c r="O47" s="24"/>
    </row>
    <row r="48" spans="1:13" ht="12.75">
      <c r="A48" s="216" t="s">
        <v>515</v>
      </c>
      <c r="B48" s="65"/>
      <c r="C48" s="65"/>
      <c r="D48" s="65"/>
      <c r="E48" s="65"/>
      <c r="F48" s="65"/>
      <c r="G48" s="65"/>
      <c r="H48" s="65"/>
      <c r="I48" s="65"/>
      <c r="J48" s="65"/>
      <c r="K48" s="24"/>
      <c r="M48" s="24"/>
    </row>
    <row r="49" ht="12.75">
      <c r="A49" s="66"/>
    </row>
    <row r="51" ht="12.75">
      <c r="A51" s="24"/>
    </row>
    <row r="53" ht="12.75">
      <c r="A53" s="24"/>
    </row>
  </sheetData>
  <printOptions/>
  <pageMargins left="0.7480314960629921" right="0.7480314960629921" top="0.7874015748031497" bottom="0.7086614173228347" header="0.5118110236220472" footer="0.5118110236220472"/>
  <pageSetup fitToHeight="1" fitToWidth="1" horizontalDpi="600" verticalDpi="600" orientation="portrait" paperSize="9" scale="89" r:id="rId1"/>
  <headerFooter alignWithMargins="0">
    <oddHeader>&amp;C&amp;A&amp;R&amp;F</oddHeader>
    <oddFooter>&amp;RSamo GROŠELJ, &amp;D</oddFooter>
  </headerFooter>
</worksheet>
</file>

<file path=xl/worksheets/sheet31.xml><?xml version="1.0" encoding="utf-8"?>
<worksheet xmlns="http://schemas.openxmlformats.org/spreadsheetml/2006/main" xmlns:r="http://schemas.openxmlformats.org/officeDocument/2006/relationships">
  <dimension ref="A1:AB24"/>
  <sheetViews>
    <sheetView workbookViewId="0" topLeftCell="O1">
      <selection activeCell="O2" sqref="O2"/>
    </sheetView>
  </sheetViews>
  <sheetFormatPr defaultColWidth="8.8515625" defaultRowHeight="12.75"/>
  <cols>
    <col min="1" max="1" width="30.8515625" style="0" customWidth="1"/>
    <col min="2" max="2" width="8.28125" style="0" customWidth="1"/>
    <col min="3" max="8" width="6.7109375" style="0" customWidth="1"/>
  </cols>
  <sheetData>
    <row r="1" ht="12.75">
      <c r="O1" t="s">
        <v>516</v>
      </c>
    </row>
    <row r="3" spans="1:27" ht="14.25">
      <c r="A3" s="212" t="s">
        <v>380</v>
      </c>
      <c r="B3" s="212"/>
      <c r="C3" s="212"/>
      <c r="D3" s="212"/>
      <c r="E3" s="212"/>
      <c r="F3" s="212"/>
      <c r="G3" s="212"/>
      <c r="H3" s="212"/>
      <c r="K3" t="s">
        <v>360</v>
      </c>
      <c r="L3" t="s">
        <v>361</v>
      </c>
      <c r="O3" t="s">
        <v>243</v>
      </c>
      <c r="P3" t="s">
        <v>361</v>
      </c>
      <c r="Q3" t="s">
        <v>362</v>
      </c>
      <c r="S3" t="s">
        <v>363</v>
      </c>
      <c r="U3" t="s">
        <v>243</v>
      </c>
      <c r="V3" t="s">
        <v>361</v>
      </c>
      <c r="W3" t="s">
        <v>362</v>
      </c>
      <c r="Y3" t="s">
        <v>243</v>
      </c>
      <c r="Z3" t="s">
        <v>361</v>
      </c>
      <c r="AA3" t="s">
        <v>362</v>
      </c>
    </row>
    <row r="4" spans="11:26" ht="12.75">
      <c r="K4">
        <v>1993</v>
      </c>
      <c r="L4">
        <v>1993</v>
      </c>
      <c r="O4">
        <v>2001</v>
      </c>
      <c r="P4">
        <v>2001</v>
      </c>
      <c r="S4" t="s">
        <v>381</v>
      </c>
      <c r="U4">
        <v>2002</v>
      </c>
      <c r="V4">
        <v>2002</v>
      </c>
      <c r="Y4">
        <v>2013</v>
      </c>
      <c r="Z4">
        <v>2013</v>
      </c>
    </row>
    <row r="5" spans="2:8" ht="17.25" customHeight="1">
      <c r="B5" s="213" t="s">
        <v>364</v>
      </c>
      <c r="C5" s="214" t="s">
        <v>365</v>
      </c>
      <c r="D5" s="214"/>
      <c r="E5" s="214"/>
      <c r="F5" s="214" t="s">
        <v>366</v>
      </c>
      <c r="G5" s="214"/>
      <c r="H5" s="215"/>
    </row>
    <row r="6" spans="2:8" ht="15" customHeight="1">
      <c r="B6" s="213"/>
      <c r="C6" s="154" t="s">
        <v>379</v>
      </c>
      <c r="D6" s="136">
        <v>2001</v>
      </c>
      <c r="E6" s="136">
        <f>+D6+1</f>
        <v>2002</v>
      </c>
      <c r="F6" s="160" t="s">
        <v>359</v>
      </c>
      <c r="G6" s="161"/>
      <c r="H6" s="155"/>
    </row>
    <row r="7" spans="1:8" ht="12.75">
      <c r="A7" s="162" t="s">
        <v>367</v>
      </c>
      <c r="B7" s="156"/>
      <c r="C7" s="137">
        <f>+'[3]P'!C171</f>
        <v>882.1111111111111</v>
      </c>
      <c r="D7" s="137">
        <f>+'[3]P'!Y171</f>
        <v>916</v>
      </c>
      <c r="E7" s="137">
        <f>+'[3]P'!Z171</f>
        <v>910</v>
      </c>
      <c r="F7" s="163">
        <f>+'[3]Pmin'!AK171</f>
        <v>955.6246029600508</v>
      </c>
      <c r="G7" s="158"/>
      <c r="H7" s="157"/>
    </row>
    <row r="8" spans="1:7" ht="12.75">
      <c r="A8" s="133"/>
      <c r="C8" s="10"/>
      <c r="D8" s="10"/>
      <c r="E8" s="10"/>
      <c r="F8" s="164"/>
      <c r="G8" s="165"/>
    </row>
    <row r="9" spans="1:7" ht="12.75">
      <c r="A9" s="133" t="s">
        <v>368</v>
      </c>
      <c r="C9" s="10"/>
      <c r="D9" s="10"/>
      <c r="E9" s="10"/>
      <c r="F9" s="164"/>
      <c r="G9" s="165"/>
    </row>
    <row r="10" spans="1:28" ht="12.75">
      <c r="A10" s="133" t="s">
        <v>369</v>
      </c>
      <c r="B10" s="166">
        <f>(9848*0+17729*1.5+235911*5.5)/(9848+17729+235911)+0.5</f>
        <v>5.525291474374544</v>
      </c>
      <c r="C10" s="157">
        <v>3.522269499010423</v>
      </c>
      <c r="D10" s="157">
        <v>2.2900763358778624</v>
      </c>
      <c r="E10" s="157">
        <v>1.9780219780219779</v>
      </c>
      <c r="F10" s="167">
        <v>0.6524684105419218</v>
      </c>
      <c r="G10" s="168"/>
      <c r="H10" s="157"/>
      <c r="K10">
        <v>100</v>
      </c>
      <c r="L10">
        <v>4.6</v>
      </c>
      <c r="M10">
        <f aca="true" t="shared" si="0" ref="M10:M17">L10*K10</f>
        <v>459.99999999999994</v>
      </c>
      <c r="O10">
        <v>100</v>
      </c>
      <c r="P10" s="10">
        <f aca="true" t="shared" si="1" ref="P10:P17">D10</f>
        <v>2.2900763358778624</v>
      </c>
      <c r="Q10">
        <f aca="true" t="shared" si="2" ref="Q10:Q17">O10*P10</f>
        <v>229.00763358778624</v>
      </c>
      <c r="S10" s="1">
        <v>0</v>
      </c>
      <c r="U10">
        <f>O10*(1+S10)</f>
        <v>100</v>
      </c>
      <c r="V10" s="10">
        <f>E10</f>
        <v>1.9780219780219779</v>
      </c>
      <c r="W10">
        <f aca="true" t="shared" si="3" ref="W10:W17">U10*V10</f>
        <v>197.80219780219778</v>
      </c>
      <c r="Y10" s="10">
        <f>U10*(1+S10)^11</f>
        <v>100</v>
      </c>
      <c r="Z10" s="135">
        <v>1.2436692001227305</v>
      </c>
      <c r="AA10">
        <f aca="true" t="shared" si="4" ref="AA10:AA17">Y10*Z10</f>
        <v>124.36692001227306</v>
      </c>
      <c r="AB10" s="10"/>
    </row>
    <row r="11" spans="1:28" ht="12.75">
      <c r="A11" s="133" t="s">
        <v>370</v>
      </c>
      <c r="B11" s="166">
        <v>8</v>
      </c>
      <c r="C11" s="157">
        <v>19.920133061516328</v>
      </c>
      <c r="D11" s="157">
        <v>17.77535441657579</v>
      </c>
      <c r="E11" s="157">
        <v>16.373626373626372</v>
      </c>
      <c r="F11" s="167">
        <v>8.386808881519414</v>
      </c>
      <c r="G11" s="168"/>
      <c r="H11" s="157"/>
      <c r="K11">
        <v>106</v>
      </c>
      <c r="L11">
        <v>21.7</v>
      </c>
      <c r="M11">
        <f t="shared" si="0"/>
        <v>2300.2</v>
      </c>
      <c r="O11">
        <v>113</v>
      </c>
      <c r="P11" s="10">
        <f t="shared" si="1"/>
        <v>17.77535441657579</v>
      </c>
      <c r="Q11">
        <f t="shared" si="2"/>
        <v>2008.6150490730643</v>
      </c>
      <c r="S11" s="1">
        <f>EXP(1/8*LN(O11/K11))-1</f>
        <v>0.008025624618963612</v>
      </c>
      <c r="U11">
        <f aca="true" t="shared" si="5" ref="U11:U17">O11*(1+S11)</f>
        <v>113.90689558194289</v>
      </c>
      <c r="V11" s="10">
        <f aca="true" t="shared" si="6" ref="V11:V17">E11</f>
        <v>16.373626373626372</v>
      </c>
      <c r="W11">
        <f t="shared" si="3"/>
        <v>1865.0689496384055</v>
      </c>
      <c r="Y11" s="10">
        <f aca="true" t="shared" si="7" ref="Y11:Y17">U11*(1+S11)^11</f>
        <v>124.37620770377906</v>
      </c>
      <c r="Z11" s="135">
        <v>12.56391679005998</v>
      </c>
      <c r="AA11">
        <f t="shared" si="4"/>
        <v>1562.6523242534972</v>
      </c>
      <c r="AB11" s="10"/>
    </row>
    <row r="12" spans="1:28" ht="12.75">
      <c r="A12" s="133" t="s">
        <v>371</v>
      </c>
      <c r="B12" s="166">
        <v>9.5</v>
      </c>
      <c r="C12" s="157">
        <v>3.2025770298742477</v>
      </c>
      <c r="D12" s="157">
        <v>2.4186010281975383</v>
      </c>
      <c r="E12" s="157">
        <v>2.392072213500785</v>
      </c>
      <c r="F12" s="167">
        <v>0.2</v>
      </c>
      <c r="G12" s="168"/>
      <c r="H12" s="157"/>
      <c r="K12">
        <v>135</v>
      </c>
      <c r="L12">
        <v>3.9</v>
      </c>
      <c r="M12">
        <f t="shared" si="0"/>
        <v>526.5</v>
      </c>
      <c r="O12">
        <v>133</v>
      </c>
      <c r="P12" s="10">
        <f t="shared" si="1"/>
        <v>2.4186010281975383</v>
      </c>
      <c r="Q12">
        <f t="shared" si="2"/>
        <v>321.6739367502726</v>
      </c>
      <c r="S12" s="1">
        <f aca="true" t="shared" si="8" ref="S12:S17">EXP(1/8*LN(O12/K12))-1</f>
        <v>-0.0018639669290007044</v>
      </c>
      <c r="U12">
        <f t="shared" si="5"/>
        <v>132.7520923984429</v>
      </c>
      <c r="V12" s="10">
        <f t="shared" si="6"/>
        <v>2.392072213500785</v>
      </c>
      <c r="W12">
        <f t="shared" si="3"/>
        <v>317.552591510404</v>
      </c>
      <c r="Y12" s="10">
        <f t="shared" si="7"/>
        <v>130.05541812618188</v>
      </c>
      <c r="Z12" s="135">
        <v>1.352625509321333</v>
      </c>
      <c r="AA12">
        <f t="shared" si="4"/>
        <v>175.91627618292569</v>
      </c>
      <c r="AB12" s="10"/>
    </row>
    <row r="13" spans="1:28" ht="12.75">
      <c r="A13" s="133" t="s">
        <v>372</v>
      </c>
      <c r="B13" s="166">
        <v>11</v>
      </c>
      <c r="C13" s="157">
        <v>28.307697448952208</v>
      </c>
      <c r="D13" s="157">
        <v>27.02523757594641</v>
      </c>
      <c r="E13" s="157">
        <v>26.72880690737834</v>
      </c>
      <c r="F13" s="167">
        <v>23.44668238225794</v>
      </c>
      <c r="G13" s="168"/>
      <c r="H13" s="157"/>
      <c r="K13">
        <v>133</v>
      </c>
      <c r="L13">
        <v>26.6</v>
      </c>
      <c r="M13">
        <f t="shared" si="0"/>
        <v>3537.8</v>
      </c>
      <c r="O13">
        <v>131</v>
      </c>
      <c r="P13" s="10">
        <f t="shared" si="1"/>
        <v>27.02523757594641</v>
      </c>
      <c r="Q13">
        <f t="shared" si="2"/>
        <v>3540.3061224489797</v>
      </c>
      <c r="S13" s="1">
        <f t="shared" si="8"/>
        <v>-0.0018921831875274853</v>
      </c>
      <c r="U13">
        <f t="shared" si="5"/>
        <v>130.7521240024339</v>
      </c>
      <c r="V13" s="10">
        <f t="shared" si="6"/>
        <v>26.72880690737834</v>
      </c>
      <c r="W13">
        <f t="shared" si="3"/>
        <v>3494.8482751906445</v>
      </c>
      <c r="Y13" s="10">
        <f t="shared" si="7"/>
        <v>128.05624937980775</v>
      </c>
      <c r="Z13" s="135">
        <v>20.011531251466568</v>
      </c>
      <c r="AA13">
        <f t="shared" si="4"/>
        <v>2562.601636409619</v>
      </c>
      <c r="AB13" s="10"/>
    </row>
    <row r="14" spans="1:28" ht="12.75">
      <c r="A14" s="133" t="s">
        <v>332</v>
      </c>
      <c r="B14" s="166">
        <v>12.1</v>
      </c>
      <c r="C14" s="157">
        <v>29.077197469434022</v>
      </c>
      <c r="D14" s="157">
        <v>33.151581243184296</v>
      </c>
      <c r="E14" s="157">
        <v>34.175824175824175</v>
      </c>
      <c r="F14" s="167">
        <v>28.522447459200244</v>
      </c>
      <c r="G14" s="168"/>
      <c r="H14" s="157"/>
      <c r="K14">
        <v>161</v>
      </c>
      <c r="L14">
        <v>27.2</v>
      </c>
      <c r="M14">
        <f t="shared" si="0"/>
        <v>4379.2</v>
      </c>
      <c r="O14">
        <v>161</v>
      </c>
      <c r="P14" s="10">
        <f t="shared" si="1"/>
        <v>33.151581243184296</v>
      </c>
      <c r="Q14">
        <f t="shared" si="2"/>
        <v>5337.404580152672</v>
      </c>
      <c r="S14" s="1">
        <f t="shared" si="8"/>
        <v>0</v>
      </c>
      <c r="U14">
        <f t="shared" si="5"/>
        <v>161</v>
      </c>
      <c r="V14" s="10">
        <f t="shared" si="6"/>
        <v>34.175824175824175</v>
      </c>
      <c r="W14">
        <f t="shared" si="3"/>
        <v>5502.307692307692</v>
      </c>
      <c r="Y14" s="10">
        <f t="shared" si="7"/>
        <v>161</v>
      </c>
      <c r="Z14" s="135">
        <v>36.0844432231907</v>
      </c>
      <c r="AA14">
        <f t="shared" si="4"/>
        <v>5809.595358933703</v>
      </c>
      <c r="AB14" s="10"/>
    </row>
    <row r="15" spans="1:28" ht="12.75">
      <c r="A15" s="169" t="s">
        <v>373</v>
      </c>
      <c r="B15" s="166">
        <v>14</v>
      </c>
      <c r="C15" s="157">
        <v>7.798547585928967</v>
      </c>
      <c r="D15" s="157">
        <v>6.870229007633588</v>
      </c>
      <c r="E15" s="157">
        <v>6.7032967032967035</v>
      </c>
      <c r="F15" s="167">
        <v>11.095041367183134</v>
      </c>
      <c r="G15" s="168"/>
      <c r="H15" s="157"/>
      <c r="K15">
        <v>226</v>
      </c>
      <c r="L15">
        <v>8</v>
      </c>
      <c r="M15">
        <f t="shared" si="0"/>
        <v>1808</v>
      </c>
      <c r="O15">
        <v>250</v>
      </c>
      <c r="P15" s="10">
        <f t="shared" si="1"/>
        <v>6.870229007633588</v>
      </c>
      <c r="Q15">
        <f t="shared" si="2"/>
        <v>1717.5572519083971</v>
      </c>
      <c r="S15" s="1">
        <f t="shared" si="8"/>
        <v>0.012695653974507337</v>
      </c>
      <c r="U15">
        <f t="shared" si="5"/>
        <v>253.17391349362683</v>
      </c>
      <c r="V15" s="10">
        <f t="shared" si="6"/>
        <v>6.7032967032967035</v>
      </c>
      <c r="W15">
        <f t="shared" si="3"/>
        <v>1697.0998596825534</v>
      </c>
      <c r="Y15" s="10">
        <f t="shared" si="7"/>
        <v>290.8622524278697</v>
      </c>
      <c r="Z15" s="135">
        <v>6.924446774046832</v>
      </c>
      <c r="AA15">
        <f t="shared" si="4"/>
        <v>2014.0601855161576</v>
      </c>
      <c r="AB15" s="10"/>
    </row>
    <row r="16" spans="1:28" ht="12.75">
      <c r="A16" s="169" t="s">
        <v>374</v>
      </c>
      <c r="B16" s="166">
        <v>16.2</v>
      </c>
      <c r="C16" s="157">
        <v>7.2770289405672965</v>
      </c>
      <c r="D16" s="157">
        <v>9.487459105779717</v>
      </c>
      <c r="E16" s="157">
        <v>10.659340659340659</v>
      </c>
      <c r="F16" s="167">
        <v>22.942127464588953</v>
      </c>
      <c r="G16" s="168"/>
      <c r="H16" s="157"/>
      <c r="K16">
        <v>330</v>
      </c>
      <c r="L16">
        <v>7</v>
      </c>
      <c r="M16">
        <f t="shared" si="0"/>
        <v>2310</v>
      </c>
      <c r="O16">
        <v>367</v>
      </c>
      <c r="P16" s="10">
        <f t="shared" si="1"/>
        <v>9.487459105779717</v>
      </c>
      <c r="Q16">
        <f t="shared" si="2"/>
        <v>3481.897491821156</v>
      </c>
      <c r="S16" s="1">
        <f t="shared" si="8"/>
        <v>0.013372268829885181</v>
      </c>
      <c r="U16">
        <f t="shared" si="5"/>
        <v>371.9076226605679</v>
      </c>
      <c r="V16" s="10">
        <f t="shared" si="6"/>
        <v>10.659340659340659</v>
      </c>
      <c r="W16">
        <f t="shared" si="3"/>
        <v>3964.2900437445146</v>
      </c>
      <c r="Y16" s="10">
        <f t="shared" si="7"/>
        <v>430.42179153064984</v>
      </c>
      <c r="Z16" s="135">
        <v>18.810212481382155</v>
      </c>
      <c r="AA16">
        <f t="shared" si="4"/>
        <v>8096.325355308698</v>
      </c>
      <c r="AB16" s="10"/>
    </row>
    <row r="17" spans="1:28" ht="12.75">
      <c r="A17" s="169" t="s">
        <v>375</v>
      </c>
      <c r="B17" s="166">
        <v>19</v>
      </c>
      <c r="C17" s="157">
        <v>0.8945489647165054</v>
      </c>
      <c r="D17" s="157">
        <v>0.9814612868047983</v>
      </c>
      <c r="E17" s="157">
        <v>0.9890109890109889</v>
      </c>
      <c r="F17" s="167">
        <v>4.754424034708384</v>
      </c>
      <c r="G17" s="168"/>
      <c r="H17" s="157"/>
      <c r="K17">
        <v>330</v>
      </c>
      <c r="L17">
        <v>0.9</v>
      </c>
      <c r="M17">
        <f t="shared" si="0"/>
        <v>297</v>
      </c>
      <c r="O17">
        <v>367</v>
      </c>
      <c r="P17" s="10">
        <f t="shared" si="1"/>
        <v>0.9814612868047983</v>
      </c>
      <c r="Q17">
        <f t="shared" si="2"/>
        <v>360.19629225736094</v>
      </c>
      <c r="S17" s="1">
        <f t="shared" si="8"/>
        <v>0.013372268829885181</v>
      </c>
      <c r="U17">
        <f t="shared" si="5"/>
        <v>371.9076226605679</v>
      </c>
      <c r="V17" s="10">
        <f t="shared" si="6"/>
        <v>0.9890109890109889</v>
      </c>
      <c r="W17">
        <f t="shared" si="3"/>
        <v>367.8207257082539</v>
      </c>
      <c r="Y17" s="10">
        <f t="shared" si="7"/>
        <v>430.42179153064984</v>
      </c>
      <c r="Z17" s="135">
        <v>3.0091547704096824</v>
      </c>
      <c r="AA17">
        <f t="shared" si="4"/>
        <v>1295.2057872727369</v>
      </c>
      <c r="AB17" s="10"/>
    </row>
    <row r="18" spans="1:8" ht="12.75">
      <c r="A18" s="136" t="s">
        <v>200</v>
      </c>
      <c r="C18" s="137">
        <f>SUMPRODUCT($B10:$B17,C10:C17)/100</f>
        <v>11.16529838597703</v>
      </c>
      <c r="D18" s="137">
        <f>SUMPRODUCT($B10:$B17,D10:D17)/100</f>
        <v>11.44772438802509</v>
      </c>
      <c r="E18" s="137">
        <f>SUMPRODUCT($B10:$B17,E10:E17)/100</f>
        <v>11.575058748158742</v>
      </c>
      <c r="F18" s="163">
        <f>SUMPRODUCT($B10:$B17,F10:F17)/100</f>
        <v>12.92961770385746</v>
      </c>
      <c r="G18" s="158"/>
      <c r="H18" s="157"/>
    </row>
    <row r="19" spans="1:27" ht="20.25" customHeight="1">
      <c r="A19" s="210" t="s">
        <v>376</v>
      </c>
      <c r="B19" s="210"/>
      <c r="C19" s="211"/>
      <c r="D19" s="211"/>
      <c r="E19" s="211"/>
      <c r="F19" s="211"/>
      <c r="G19" s="211"/>
      <c r="H19" s="211"/>
      <c r="I19" t="s">
        <v>377</v>
      </c>
      <c r="M19">
        <f>SUM(M10:M17)/100</f>
        <v>156.187</v>
      </c>
      <c r="Q19">
        <f>SUM(Q10:Q17)/100</f>
        <v>169.96658357999692</v>
      </c>
      <c r="W19">
        <f>SUM(W10:W17)/100</f>
        <v>174.06790335584668</v>
      </c>
      <c r="AA19">
        <f>SUM(AA10:AA17)/100</f>
        <v>216.40723843889612</v>
      </c>
    </row>
    <row r="20" spans="1:27" ht="20.25" customHeight="1">
      <c r="A20" s="159"/>
      <c r="B20" s="159"/>
      <c r="C20" s="156"/>
      <c r="D20" s="156"/>
      <c r="E20" s="156"/>
      <c r="F20" s="156"/>
      <c r="G20" s="156"/>
      <c r="H20" s="156"/>
      <c r="I20" t="s">
        <v>378</v>
      </c>
      <c r="M20">
        <f>M19/156.187</f>
        <v>1</v>
      </c>
      <c r="Q20">
        <f>Q19/156.187</f>
        <v>1.088224907194561</v>
      </c>
      <c r="W20">
        <f>W19/156.187</f>
        <v>1.1144839414025922</v>
      </c>
      <c r="AA20">
        <f>AA19/156.187</f>
        <v>1.385564985811214</v>
      </c>
    </row>
    <row r="21" spans="1:23" ht="20.25" customHeight="1">
      <c r="A21" s="159"/>
      <c r="B21" s="159"/>
      <c r="C21" s="156"/>
      <c r="D21" s="156"/>
      <c r="E21" s="156"/>
      <c r="F21" s="156"/>
      <c r="G21" s="156"/>
      <c r="H21" s="156"/>
      <c r="I21" t="s">
        <v>382</v>
      </c>
      <c r="W21">
        <f>EXP(1/9*LN(W20))-1</f>
        <v>0.012116311026475035</v>
      </c>
    </row>
    <row r="22" spans="9:27" ht="12.75">
      <c r="I22" t="s">
        <v>383</v>
      </c>
      <c r="AA22">
        <f>EXP(1/11*LN(AA20/W20))-1</f>
        <v>0.019989579663146406</v>
      </c>
    </row>
    <row r="23" spans="3:7" ht="12.75">
      <c r="C23" s="10"/>
      <c r="D23" s="10"/>
      <c r="E23" s="10"/>
      <c r="F23" s="10"/>
      <c r="G23" s="10"/>
    </row>
    <row r="24" spans="1:27" ht="12.75">
      <c r="A24" t="s">
        <v>387</v>
      </c>
      <c r="F24" s="10"/>
      <c r="G24" s="10"/>
      <c r="Y24" t="s">
        <v>388</v>
      </c>
      <c r="AA24">
        <f>1.25*AA22</f>
        <v>0.024986974578933008</v>
      </c>
    </row>
  </sheetData>
  <mergeCells count="5">
    <mergeCell ref="A19:H19"/>
    <mergeCell ref="A3:H3"/>
    <mergeCell ref="B5:B6"/>
    <mergeCell ref="C5:E5"/>
    <mergeCell ref="F5:H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T38"/>
  <sheetViews>
    <sheetView workbookViewId="0" topLeftCell="A1">
      <selection activeCell="A2" sqref="A2"/>
    </sheetView>
  </sheetViews>
  <sheetFormatPr defaultColWidth="9.140625" defaultRowHeight="12.75"/>
  <cols>
    <col min="1" max="15" width="9.140625" style="13" customWidth="1"/>
    <col min="17" max="17" width="9.140625" style="13" customWidth="1"/>
    <col min="18" max="18" width="24.140625" style="13" customWidth="1"/>
    <col min="19" max="19" width="19.57421875" style="13" customWidth="1"/>
    <col min="20" max="20" width="14.7109375" style="13" customWidth="1"/>
    <col min="21" max="16384" width="9.140625" style="13" customWidth="1"/>
  </cols>
  <sheetData>
    <row r="1" ht="12.75">
      <c r="A1" s="22" t="s">
        <v>517</v>
      </c>
    </row>
    <row r="2" ht="12.75">
      <c r="A2" s="22"/>
    </row>
    <row r="3" spans="1:19" ht="12.75">
      <c r="A3" s="22"/>
      <c r="C3" s="22" t="s">
        <v>49</v>
      </c>
      <c r="D3" s="22" t="s">
        <v>50</v>
      </c>
      <c r="E3" s="22" t="s">
        <v>54</v>
      </c>
      <c r="F3" s="22" t="s">
        <v>56</v>
      </c>
      <c r="G3" s="22" t="s">
        <v>59</v>
      </c>
      <c r="H3" s="22" t="s">
        <v>55</v>
      </c>
      <c r="I3" s="22" t="s">
        <v>58</v>
      </c>
      <c r="J3" s="22"/>
      <c r="K3" s="22" t="s">
        <v>51</v>
      </c>
      <c r="L3" s="22" t="s">
        <v>57</v>
      </c>
      <c r="M3" s="22" t="s">
        <v>52</v>
      </c>
      <c r="N3" s="22"/>
      <c r="O3" s="22" t="s">
        <v>53</v>
      </c>
      <c r="P3" t="s">
        <v>78</v>
      </c>
      <c r="S3" s="22"/>
    </row>
    <row r="4" spans="1:19" ht="12.75">
      <c r="A4" s="22"/>
      <c r="C4" s="22"/>
      <c r="D4" s="22"/>
      <c r="E4" s="22"/>
      <c r="F4" s="22"/>
      <c r="G4" s="22"/>
      <c r="H4" s="22"/>
      <c r="I4" s="22"/>
      <c r="J4" s="22"/>
      <c r="K4" s="22"/>
      <c r="L4" s="22"/>
      <c r="M4" s="22"/>
      <c r="N4" s="22"/>
      <c r="O4" s="22"/>
      <c r="S4" s="22"/>
    </row>
    <row r="5" spans="1:19" ht="12.75">
      <c r="A5" s="22">
        <v>1990</v>
      </c>
      <c r="C5" s="22"/>
      <c r="D5" s="22"/>
      <c r="E5" s="22"/>
      <c r="F5" s="22"/>
      <c r="G5" s="22"/>
      <c r="H5" s="22"/>
      <c r="I5" s="22"/>
      <c r="J5" s="22"/>
      <c r="K5" s="22"/>
      <c r="L5" s="22"/>
      <c r="M5" s="22"/>
      <c r="N5" s="22"/>
      <c r="O5" s="22"/>
      <c r="S5" s="22"/>
    </row>
    <row r="6" ht="12.75">
      <c r="A6" s="13">
        <v>1991</v>
      </c>
    </row>
    <row r="7" spans="1:15" ht="12.75">
      <c r="A7" s="13">
        <v>1992</v>
      </c>
      <c r="O7" s="15"/>
    </row>
    <row r="8" spans="1:20" ht="12.75">
      <c r="A8" s="13">
        <f aca="true" t="shared" si="0" ref="A8:A28">A7+1</f>
        <v>1993</v>
      </c>
      <c r="C8" s="19">
        <v>0.15976331360946747</v>
      </c>
      <c r="D8" s="19">
        <f aca="true" t="shared" si="1" ref="D8:D28">1-C8</f>
        <v>0.8402366863905325</v>
      </c>
      <c r="E8" s="15">
        <v>1.8669871182803957</v>
      </c>
      <c r="F8" s="15">
        <v>0.5</v>
      </c>
      <c r="G8" s="15">
        <v>0.34</v>
      </c>
      <c r="H8" s="15">
        <f>E8*(1-F8)/F8*(C8/D8)^(1-0.34)</f>
        <v>0.6242105412903128</v>
      </c>
      <c r="I8" s="15">
        <v>0.0168</v>
      </c>
      <c r="J8" s="19"/>
      <c r="K8" s="19">
        <f aca="true" t="shared" si="2" ref="K8:K17">(F8*H8*(1+I8)^(A8-1993)*C8^(G8)+(1-F8)*D8^(G8))^(1/G8)</f>
        <v>0.26734194452824545</v>
      </c>
      <c r="L8" s="19">
        <f>K8</f>
        <v>0.26734194452824545</v>
      </c>
      <c r="M8" s="19">
        <f aca="true" t="shared" si="3" ref="M8:M17">K8/L8</f>
        <v>1</v>
      </c>
      <c r="N8" s="19"/>
      <c r="O8" s="15"/>
      <c r="P8" s="15">
        <v>1.8669871182803957</v>
      </c>
      <c r="Q8" s="19"/>
      <c r="R8" s="15"/>
      <c r="S8" s="15"/>
      <c r="T8" s="15"/>
    </row>
    <row r="9" spans="1:20" ht="12.75">
      <c r="A9" s="13">
        <f t="shared" si="0"/>
        <v>1994</v>
      </c>
      <c r="C9" s="19">
        <v>0.16216216216216217</v>
      </c>
      <c r="D9" s="19">
        <f t="shared" si="1"/>
        <v>0.8378378378378378</v>
      </c>
      <c r="E9" s="15">
        <v>1.8979368195283015</v>
      </c>
      <c r="F9" s="15">
        <f aca="true" t="shared" si="4" ref="F9:F17">F8</f>
        <v>0.5</v>
      </c>
      <c r="G9" s="15">
        <f aca="true" t="shared" si="5" ref="G9:G17">G8</f>
        <v>0.34</v>
      </c>
      <c r="H9" s="15">
        <f aca="true" t="shared" si="6" ref="H9:H17">H8</f>
        <v>0.6242105412903128</v>
      </c>
      <c r="I9" s="15">
        <f aca="true" t="shared" si="7" ref="I9:I17">I8</f>
        <v>0.0168</v>
      </c>
      <c r="J9" s="19"/>
      <c r="K9" s="19">
        <f t="shared" si="2"/>
        <v>0.27132240060587864</v>
      </c>
      <c r="L9" s="19">
        <f aca="true" t="shared" si="8" ref="L9:L17">L8</f>
        <v>0.26734194452824545</v>
      </c>
      <c r="M9" s="19">
        <f t="shared" si="3"/>
        <v>1.0148890069781498</v>
      </c>
      <c r="N9" s="19"/>
      <c r="O9" s="15"/>
      <c r="P9" s="15">
        <v>1.8979368195283015</v>
      </c>
      <c r="Q9" s="19"/>
      <c r="R9" s="15"/>
      <c r="S9" s="15"/>
      <c r="T9" s="15"/>
    </row>
    <row r="10" spans="1:20" ht="12.75">
      <c r="A10" s="13">
        <f t="shared" si="0"/>
        <v>1995</v>
      </c>
      <c r="C10" s="19">
        <v>0.15532879818594103</v>
      </c>
      <c r="D10" s="19">
        <f t="shared" si="1"/>
        <v>0.844671201814059</v>
      </c>
      <c r="E10" s="15">
        <v>1.858270381203828</v>
      </c>
      <c r="F10" s="15">
        <f t="shared" si="4"/>
        <v>0.5</v>
      </c>
      <c r="G10" s="15">
        <f t="shared" si="5"/>
        <v>0.34</v>
      </c>
      <c r="H10" s="15">
        <f t="shared" si="6"/>
        <v>0.6242105412903128</v>
      </c>
      <c r="I10" s="15">
        <f t="shared" si="7"/>
        <v>0.0168</v>
      </c>
      <c r="J10" s="19"/>
      <c r="K10" s="19">
        <f t="shared" si="2"/>
        <v>0.27337694351134056</v>
      </c>
      <c r="L10" s="19">
        <f t="shared" si="8"/>
        <v>0.26734194452824545</v>
      </c>
      <c r="M10" s="19">
        <f t="shared" si="3"/>
        <v>1.0225740820197315</v>
      </c>
      <c r="N10" s="19"/>
      <c r="O10" s="15"/>
      <c r="P10" s="15">
        <v>1.858270381203828</v>
      </c>
      <c r="Q10" s="19"/>
      <c r="R10" s="15"/>
      <c r="S10" s="15"/>
      <c r="T10" s="15"/>
    </row>
    <row r="11" spans="1:20" ht="12.75">
      <c r="A11" s="13">
        <f t="shared" si="0"/>
        <v>1996</v>
      </c>
      <c r="C11" s="19">
        <v>0.14578587699316628</v>
      </c>
      <c r="D11" s="19">
        <f t="shared" si="1"/>
        <v>0.8542141230068337</v>
      </c>
      <c r="E11" s="15">
        <v>1.84113500808426</v>
      </c>
      <c r="F11" s="15">
        <f t="shared" si="4"/>
        <v>0.5</v>
      </c>
      <c r="G11" s="15">
        <f t="shared" si="5"/>
        <v>0.34</v>
      </c>
      <c r="H11" s="15">
        <f t="shared" si="6"/>
        <v>0.6242105412903128</v>
      </c>
      <c r="I11" s="15">
        <f t="shared" si="7"/>
        <v>0.0168</v>
      </c>
      <c r="J11" s="19"/>
      <c r="K11" s="19">
        <f t="shared" si="2"/>
        <v>0.2745906611954335</v>
      </c>
      <c r="L11" s="19">
        <f t="shared" si="8"/>
        <v>0.26734194452824545</v>
      </c>
      <c r="M11" s="19">
        <f t="shared" si="3"/>
        <v>1.027114026869144</v>
      </c>
      <c r="N11" s="19"/>
      <c r="O11" s="15"/>
      <c r="P11" s="15">
        <v>1.84113500808426</v>
      </c>
      <c r="Q11" s="19"/>
      <c r="R11" s="15"/>
      <c r="S11" s="15"/>
      <c r="T11" s="15"/>
    </row>
    <row r="12" spans="1:20" ht="12.75">
      <c r="A12" s="13">
        <f t="shared" si="0"/>
        <v>1997</v>
      </c>
      <c r="C12" s="19">
        <v>0.15011037527593818</v>
      </c>
      <c r="D12" s="19">
        <f t="shared" si="1"/>
        <v>0.8498896247240618</v>
      </c>
      <c r="E12" s="15">
        <v>2.06036379615491</v>
      </c>
      <c r="F12" s="15">
        <f t="shared" si="4"/>
        <v>0.5</v>
      </c>
      <c r="G12" s="15">
        <f t="shared" si="5"/>
        <v>0.34</v>
      </c>
      <c r="H12" s="15">
        <f t="shared" si="6"/>
        <v>0.6242105412903128</v>
      </c>
      <c r="I12" s="15">
        <f t="shared" si="7"/>
        <v>0.0168</v>
      </c>
      <c r="J12" s="19"/>
      <c r="K12" s="19">
        <f t="shared" si="2"/>
        <v>0.2793530685319945</v>
      </c>
      <c r="L12" s="19">
        <f t="shared" si="8"/>
        <v>0.26734194452824545</v>
      </c>
      <c r="M12" s="19">
        <f t="shared" si="3"/>
        <v>1.0449279443408852</v>
      </c>
      <c r="N12" s="19"/>
      <c r="O12" s="15"/>
      <c r="P12" s="15">
        <v>2.06036379615491</v>
      </c>
      <c r="Q12" s="19"/>
      <c r="R12" s="15"/>
      <c r="S12" s="15"/>
      <c r="T12" s="15"/>
    </row>
    <row r="13" spans="1:20" ht="12.75">
      <c r="A13" s="13">
        <f t="shared" si="0"/>
        <v>1998</v>
      </c>
      <c r="C13" s="19">
        <v>0.1620421753607103</v>
      </c>
      <c r="D13" s="19">
        <f t="shared" si="1"/>
        <v>0.8379578246392897</v>
      </c>
      <c r="E13" s="15">
        <v>2.2831269944251007</v>
      </c>
      <c r="F13" s="15">
        <f t="shared" si="4"/>
        <v>0.5</v>
      </c>
      <c r="G13" s="15">
        <f t="shared" si="5"/>
        <v>0.34</v>
      </c>
      <c r="H13" s="15">
        <f t="shared" si="6"/>
        <v>0.6242105412903128</v>
      </c>
      <c r="I13" s="15">
        <f t="shared" si="7"/>
        <v>0.0168</v>
      </c>
      <c r="J13" s="19"/>
      <c r="K13" s="19">
        <f t="shared" si="2"/>
        <v>0.2862052825822729</v>
      </c>
      <c r="L13" s="19">
        <f t="shared" si="8"/>
        <v>0.26734194452824545</v>
      </c>
      <c r="M13" s="19">
        <f t="shared" si="3"/>
        <v>1.0705588421125383</v>
      </c>
      <c r="N13" s="19"/>
      <c r="O13" s="15"/>
      <c r="P13" s="15">
        <v>2.2831269944251007</v>
      </c>
      <c r="Q13" s="19"/>
      <c r="R13" s="15"/>
      <c r="S13" s="15"/>
      <c r="T13" s="15"/>
    </row>
    <row r="14" spans="1:20" ht="12.75">
      <c r="A14" s="13">
        <f t="shared" si="0"/>
        <v>1999</v>
      </c>
      <c r="C14" s="19">
        <v>0.16930022573363435</v>
      </c>
      <c r="D14" s="19">
        <f t="shared" si="1"/>
        <v>0.8306997742663657</v>
      </c>
      <c r="E14" s="15">
        <v>1.9384664714995343</v>
      </c>
      <c r="F14" s="15">
        <f t="shared" si="4"/>
        <v>0.5</v>
      </c>
      <c r="G14" s="15">
        <f t="shared" si="5"/>
        <v>0.34</v>
      </c>
      <c r="H14" s="15">
        <f t="shared" si="6"/>
        <v>0.6242105412903128</v>
      </c>
      <c r="I14" s="15">
        <f t="shared" si="7"/>
        <v>0.0168</v>
      </c>
      <c r="J14" s="19"/>
      <c r="K14" s="19">
        <f t="shared" si="2"/>
        <v>0.29199753478875107</v>
      </c>
      <c r="L14" s="19">
        <f t="shared" si="8"/>
        <v>0.26734194452824545</v>
      </c>
      <c r="M14" s="19">
        <f t="shared" si="3"/>
        <v>1.0922249230438312</v>
      </c>
      <c r="N14" s="19"/>
      <c r="O14" s="15"/>
      <c r="P14" s="15">
        <v>1.9384664714995343</v>
      </c>
      <c r="Q14" s="19"/>
      <c r="R14" s="15"/>
      <c r="S14" s="15"/>
      <c r="T14" s="15"/>
    </row>
    <row r="15" spans="1:20" ht="12.75">
      <c r="A15" s="13">
        <f t="shared" si="0"/>
        <v>2000</v>
      </c>
      <c r="C15" s="19">
        <v>0.17222222222222222</v>
      </c>
      <c r="D15" s="19">
        <f t="shared" si="1"/>
        <v>0.8277777777777777</v>
      </c>
      <c r="E15" s="15">
        <v>1.8966932540167463</v>
      </c>
      <c r="F15" s="15">
        <f t="shared" si="4"/>
        <v>0.5</v>
      </c>
      <c r="G15" s="15">
        <f t="shared" si="5"/>
        <v>0.34</v>
      </c>
      <c r="H15" s="15">
        <f t="shared" si="6"/>
        <v>0.6242105412903128</v>
      </c>
      <c r="I15" s="15">
        <f t="shared" si="7"/>
        <v>0.0168</v>
      </c>
      <c r="J15" s="19"/>
      <c r="K15" s="19">
        <f t="shared" si="2"/>
        <v>0.29688550386835694</v>
      </c>
      <c r="L15" s="19">
        <f t="shared" si="8"/>
        <v>0.26734194452824545</v>
      </c>
      <c r="M15" s="19">
        <f t="shared" si="3"/>
        <v>1.1105085077175016</v>
      </c>
      <c r="N15" s="19"/>
      <c r="O15" s="15"/>
      <c r="P15" s="15">
        <v>1.8966932540167463</v>
      </c>
      <c r="Q15" s="19"/>
      <c r="R15" s="15"/>
      <c r="S15" s="15"/>
      <c r="T15" s="15"/>
    </row>
    <row r="16" spans="1:20" ht="12.75">
      <c r="A16" s="13">
        <f t="shared" si="0"/>
        <v>2001</v>
      </c>
      <c r="C16" s="19">
        <v>0.1726775956284153</v>
      </c>
      <c r="D16" s="19">
        <f t="shared" si="1"/>
        <v>0.8273224043715847</v>
      </c>
      <c r="E16" s="15">
        <v>1.920579297790927</v>
      </c>
      <c r="F16" s="15">
        <f t="shared" si="4"/>
        <v>0.5</v>
      </c>
      <c r="G16" s="15">
        <f t="shared" si="5"/>
        <v>0.34</v>
      </c>
      <c r="H16" s="15">
        <f t="shared" si="6"/>
        <v>0.6242105412903128</v>
      </c>
      <c r="I16" s="15">
        <f t="shared" si="7"/>
        <v>0.0168</v>
      </c>
      <c r="J16" s="19"/>
      <c r="K16" s="19">
        <f t="shared" si="2"/>
        <v>0.3012988761544915</v>
      </c>
      <c r="L16" s="19">
        <f t="shared" si="8"/>
        <v>0.26734194452824545</v>
      </c>
      <c r="M16" s="19">
        <f t="shared" si="3"/>
        <v>1.1270168498481106</v>
      </c>
      <c r="N16" s="19"/>
      <c r="O16" s="15"/>
      <c r="P16" s="15">
        <v>1.920579297790927</v>
      </c>
      <c r="Q16" s="19"/>
      <c r="R16" s="15"/>
      <c r="S16" s="15"/>
      <c r="T16" s="15"/>
    </row>
    <row r="17" spans="1:20" ht="12.75">
      <c r="A17" s="13">
        <f t="shared" si="0"/>
        <v>2002</v>
      </c>
      <c r="C17" s="19">
        <v>0.184</v>
      </c>
      <c r="D17" s="19">
        <f t="shared" si="1"/>
        <v>0.8160000000000001</v>
      </c>
      <c r="E17" s="15">
        <v>2.047016999888647</v>
      </c>
      <c r="F17" s="15">
        <f t="shared" si="4"/>
        <v>0.5</v>
      </c>
      <c r="G17" s="15">
        <f t="shared" si="5"/>
        <v>0.34</v>
      </c>
      <c r="H17" s="15">
        <f t="shared" si="6"/>
        <v>0.6242105412903128</v>
      </c>
      <c r="I17" s="15">
        <f t="shared" si="7"/>
        <v>0.0168</v>
      </c>
      <c r="J17" s="19"/>
      <c r="K17" s="19">
        <f t="shared" si="2"/>
        <v>0.30863515472300673</v>
      </c>
      <c r="L17" s="19">
        <f t="shared" si="8"/>
        <v>0.26734194452824545</v>
      </c>
      <c r="M17" s="19">
        <f t="shared" si="3"/>
        <v>1.1544584044513768</v>
      </c>
      <c r="N17" s="19"/>
      <c r="O17" s="15">
        <f>P17</f>
        <v>2.047016999888647</v>
      </c>
      <c r="P17" s="15">
        <v>2.047016999888647</v>
      </c>
      <c r="Q17" s="19"/>
      <c r="R17" s="15"/>
      <c r="S17" s="15"/>
      <c r="T17" s="15"/>
    </row>
    <row r="18" spans="1:20" ht="12.75">
      <c r="A18" s="13">
        <f t="shared" si="0"/>
        <v>2003</v>
      </c>
      <c r="B18" s="22"/>
      <c r="C18" s="1">
        <f>C17*(1+C30)</f>
        <v>0.1915883523097907</v>
      </c>
      <c r="D18" s="19">
        <f t="shared" si="1"/>
        <v>0.8084116476902092</v>
      </c>
      <c r="E18" s="19"/>
      <c r="F18" s="15">
        <f aca="true" t="shared" si="9" ref="F18:F28">F17</f>
        <v>0.5</v>
      </c>
      <c r="G18" s="15">
        <f aca="true" t="shared" si="10" ref="G18:G28">G17</f>
        <v>0.34</v>
      </c>
      <c r="H18" s="15">
        <f aca="true" t="shared" si="11" ref="H18:H28">H17</f>
        <v>0.6242105412903128</v>
      </c>
      <c r="I18" s="15">
        <f aca="true" t="shared" si="12" ref="I18:I28">I17</f>
        <v>0.0168</v>
      </c>
      <c r="J18" s="19"/>
      <c r="K18" s="19">
        <f aca="true" t="shared" si="13" ref="K18:K28">(F18*H18*(1+I18)^(A18-1993)*C18^(G18)+(1-F18)*D18^(G18))^(1/G18)</f>
        <v>0.31519882805311056</v>
      </c>
      <c r="L18" s="19">
        <f aca="true" t="shared" si="14" ref="L18:L28">L17</f>
        <v>0.26734194452824545</v>
      </c>
      <c r="M18" s="19">
        <f aca="true" t="shared" si="15" ref="M18:M28">K18/L18</f>
        <v>1.1790100076114651</v>
      </c>
      <c r="N18" s="19"/>
      <c r="O18" s="15">
        <f aca="true" t="shared" si="16" ref="O18:O28">F18/(1-F18)*H18*(1+I18)^(A18-1993)*(C17/D17)^(G18-1)</f>
        <v>1.9707077093811243</v>
      </c>
      <c r="Q18" s="19"/>
      <c r="R18" s="15"/>
      <c r="S18" s="15"/>
      <c r="T18" s="15"/>
    </row>
    <row r="19" spans="1:20" ht="12.75">
      <c r="A19" s="13">
        <f t="shared" si="0"/>
        <v>2004</v>
      </c>
      <c r="C19" s="1">
        <f>C18*(1+C30)</f>
        <v>0.19948965619989395</v>
      </c>
      <c r="D19" s="19">
        <f t="shared" si="1"/>
        <v>0.800510343800106</v>
      </c>
      <c r="E19" s="19"/>
      <c r="F19" s="15">
        <f t="shared" si="9"/>
        <v>0.5</v>
      </c>
      <c r="G19" s="15">
        <f t="shared" si="10"/>
        <v>0.34</v>
      </c>
      <c r="H19" s="15">
        <f t="shared" si="11"/>
        <v>0.6242105412903128</v>
      </c>
      <c r="I19" s="15">
        <f t="shared" si="12"/>
        <v>0.0168</v>
      </c>
      <c r="J19" s="19"/>
      <c r="K19" s="19">
        <f t="shared" si="13"/>
        <v>0.3220258767176197</v>
      </c>
      <c r="L19" s="19">
        <f t="shared" si="14"/>
        <v>0.26734194452824545</v>
      </c>
      <c r="M19" s="19">
        <f t="shared" si="15"/>
        <v>1.204546773555755</v>
      </c>
      <c r="N19" s="19"/>
      <c r="O19" s="15">
        <f t="shared" si="16"/>
        <v>1.9390807500198788</v>
      </c>
      <c r="Q19" s="19"/>
      <c r="R19" s="15"/>
      <c r="S19" s="15"/>
      <c r="T19" s="15"/>
    </row>
    <row r="20" spans="1:20" ht="12.75">
      <c r="A20" s="13">
        <f t="shared" si="0"/>
        <v>2005</v>
      </c>
      <c r="C20" s="1">
        <f>C19*(1+C30)</f>
        <v>0.2077168181205669</v>
      </c>
      <c r="D20" s="19">
        <f t="shared" si="1"/>
        <v>0.7922831818794331</v>
      </c>
      <c r="E20" s="19"/>
      <c r="F20" s="15">
        <f t="shared" si="9"/>
        <v>0.5</v>
      </c>
      <c r="G20" s="15">
        <f t="shared" si="10"/>
        <v>0.34</v>
      </c>
      <c r="H20" s="15">
        <f t="shared" si="11"/>
        <v>0.6242105412903128</v>
      </c>
      <c r="I20" s="15">
        <f t="shared" si="12"/>
        <v>0.0168</v>
      </c>
      <c r="J20" s="19"/>
      <c r="K20" s="19">
        <f t="shared" si="13"/>
        <v>0.3291271451400431</v>
      </c>
      <c r="L20" s="19">
        <f t="shared" si="14"/>
        <v>0.26734194452824545</v>
      </c>
      <c r="M20" s="19">
        <f t="shared" si="15"/>
        <v>1.231109266152846</v>
      </c>
      <c r="N20" s="19"/>
      <c r="O20" s="15">
        <f t="shared" si="16"/>
        <v>1.9073582963095557</v>
      </c>
      <c r="Q20" s="19"/>
      <c r="R20" s="15"/>
      <c r="S20" s="15"/>
      <c r="T20" s="15"/>
    </row>
    <row r="21" spans="1:20" ht="12.75">
      <c r="A21" s="13">
        <f t="shared" si="0"/>
        <v>2006</v>
      </c>
      <c r="C21" s="1">
        <f>C20*(1+C30)</f>
        <v>0.21628327679756462</v>
      </c>
      <c r="D21" s="19">
        <f t="shared" si="1"/>
        <v>0.7837167232024354</v>
      </c>
      <c r="E21" s="19"/>
      <c r="F21" s="15">
        <f t="shared" si="9"/>
        <v>0.5</v>
      </c>
      <c r="G21" s="15">
        <f t="shared" si="10"/>
        <v>0.34</v>
      </c>
      <c r="H21" s="15">
        <f t="shared" si="11"/>
        <v>0.6242105412903128</v>
      </c>
      <c r="I21" s="15">
        <f t="shared" si="12"/>
        <v>0.0168</v>
      </c>
      <c r="J21" s="19"/>
      <c r="K21" s="19">
        <f t="shared" si="13"/>
        <v>0.3365138079416724</v>
      </c>
      <c r="L21" s="19">
        <f t="shared" si="14"/>
        <v>0.26734194452824545</v>
      </c>
      <c r="M21" s="19">
        <f t="shared" si="15"/>
        <v>1.2587392843853529</v>
      </c>
      <c r="N21" s="19"/>
      <c r="O21" s="15">
        <f t="shared" si="16"/>
        <v>1.8755250911559551</v>
      </c>
      <c r="Q21" s="19"/>
      <c r="R21" s="15"/>
      <c r="S21" s="15"/>
      <c r="T21" s="15"/>
    </row>
    <row r="22" spans="1:20" ht="12.75">
      <c r="A22" s="13">
        <f t="shared" si="0"/>
        <v>2007</v>
      </c>
      <c r="C22" s="1">
        <f>C21*(1+C30)</f>
        <v>0.22520302518373803</v>
      </c>
      <c r="D22" s="19">
        <f t="shared" si="1"/>
        <v>0.774796974816262</v>
      </c>
      <c r="E22" s="19"/>
      <c r="F22" s="15">
        <f t="shared" si="9"/>
        <v>0.5</v>
      </c>
      <c r="G22" s="15">
        <f t="shared" si="10"/>
        <v>0.34</v>
      </c>
      <c r="H22" s="15">
        <f t="shared" si="11"/>
        <v>0.6242105412903128</v>
      </c>
      <c r="I22" s="15">
        <f t="shared" si="12"/>
        <v>0.0168</v>
      </c>
      <c r="J22" s="19"/>
      <c r="K22" s="19">
        <f t="shared" si="13"/>
        <v>0.3441973517862391</v>
      </c>
      <c r="L22" s="19">
        <f t="shared" si="14"/>
        <v>0.26734194452824545</v>
      </c>
      <c r="M22" s="19">
        <f t="shared" si="15"/>
        <v>1.2874797944393408</v>
      </c>
      <c r="N22" s="19"/>
      <c r="O22" s="15">
        <f t="shared" si="16"/>
        <v>1.8435651868513483</v>
      </c>
      <c r="Q22" s="19"/>
      <c r="R22" s="15"/>
      <c r="S22" s="15"/>
      <c r="T22" s="15"/>
    </row>
    <row r="23" spans="1:20" ht="12.75">
      <c r="A23" s="13">
        <f t="shared" si="0"/>
        <v>2008</v>
      </c>
      <c r="C23" s="1">
        <f>C22*(1+C30)</f>
        <v>0.23449063331593845</v>
      </c>
      <c r="D23" s="19">
        <f t="shared" si="1"/>
        <v>0.7655093666840616</v>
      </c>
      <c r="E23" s="19"/>
      <c r="F23" s="15">
        <f t="shared" si="9"/>
        <v>0.5</v>
      </c>
      <c r="G23" s="15">
        <f t="shared" si="10"/>
        <v>0.34</v>
      </c>
      <c r="H23" s="15">
        <f t="shared" si="11"/>
        <v>0.6242105412903128</v>
      </c>
      <c r="I23" s="15">
        <f t="shared" si="12"/>
        <v>0.0168</v>
      </c>
      <c r="J23" s="19"/>
      <c r="K23" s="19">
        <f t="shared" si="13"/>
        <v>0.3521895500890594</v>
      </c>
      <c r="L23" s="19">
        <f t="shared" si="14"/>
        <v>0.26734194452824545</v>
      </c>
      <c r="M23" s="19">
        <f t="shared" si="15"/>
        <v>1.3173748351031747</v>
      </c>
      <c r="N23" s="19"/>
      <c r="O23" s="15">
        <f t="shared" si="16"/>
        <v>1.811461887935935</v>
      </c>
      <c r="Q23" s="19"/>
      <c r="R23" s="15"/>
      <c r="S23" s="15"/>
      <c r="T23" s="15"/>
    </row>
    <row r="24" spans="1:20" ht="12.75">
      <c r="A24" s="13">
        <f t="shared" si="0"/>
        <v>2009</v>
      </c>
      <c r="C24" s="1">
        <f>C23*(1+C30)</f>
        <v>0.244161272114565</v>
      </c>
      <c r="D24" s="19">
        <f t="shared" si="1"/>
        <v>0.755838727885435</v>
      </c>
      <c r="E24" s="19"/>
      <c r="F24" s="15">
        <f t="shared" si="9"/>
        <v>0.5</v>
      </c>
      <c r="G24" s="15">
        <f t="shared" si="10"/>
        <v>0.34</v>
      </c>
      <c r="H24" s="15">
        <f t="shared" si="11"/>
        <v>0.6242105412903128</v>
      </c>
      <c r="I24" s="15">
        <f t="shared" si="12"/>
        <v>0.0168</v>
      </c>
      <c r="J24" s="19"/>
      <c r="K24" s="19">
        <f t="shared" si="13"/>
        <v>0.3605024290624065</v>
      </c>
      <c r="L24" s="19">
        <f t="shared" si="14"/>
        <v>0.26734194452824545</v>
      </c>
      <c r="M24" s="19">
        <f t="shared" si="15"/>
        <v>1.348469390759288</v>
      </c>
      <c r="N24" s="19"/>
      <c r="O24" s="15">
        <f t="shared" si="16"/>
        <v>1.7791976876636497</v>
      </c>
      <c r="Q24" s="19"/>
      <c r="R24" s="15"/>
      <c r="S24" s="15"/>
      <c r="T24" s="15"/>
    </row>
    <row r="25" spans="1:20" ht="12.75">
      <c r="A25" s="13">
        <f t="shared" si="0"/>
        <v>2010</v>
      </c>
      <c r="C25" s="1">
        <f>C24*(1+C30)</f>
        <v>0.2542307381646302</v>
      </c>
      <c r="D25" s="19">
        <f t="shared" si="1"/>
        <v>0.7457692618353697</v>
      </c>
      <c r="E25" s="19"/>
      <c r="F25" s="15">
        <f t="shared" si="9"/>
        <v>0.5</v>
      </c>
      <c r="G25" s="15">
        <f t="shared" si="10"/>
        <v>0.34</v>
      </c>
      <c r="H25" s="15">
        <f t="shared" si="11"/>
        <v>0.6242105412903128</v>
      </c>
      <c r="I25" s="15">
        <f t="shared" si="12"/>
        <v>0.0168</v>
      </c>
      <c r="J25" s="19"/>
      <c r="K25" s="19">
        <f t="shared" si="13"/>
        <v>0.3691482232534651</v>
      </c>
      <c r="L25" s="19">
        <f t="shared" si="14"/>
        <v>0.26734194452824545</v>
      </c>
      <c r="M25" s="19">
        <f t="shared" si="15"/>
        <v>1.3808092250726616</v>
      </c>
      <c r="N25" s="19"/>
      <c r="O25" s="15">
        <f t="shared" si="16"/>
        <v>1.746754197136376</v>
      </c>
      <c r="Q25" s="19"/>
      <c r="R25" s="15"/>
      <c r="S25" s="15"/>
      <c r="T25" s="15"/>
    </row>
    <row r="26" spans="1:20" ht="12.75">
      <c r="A26" s="13">
        <f t="shared" si="0"/>
        <v>2011</v>
      </c>
      <c r="C26" s="1">
        <f>C25*(1+C30)</f>
        <v>0.26471547951882246</v>
      </c>
      <c r="D26" s="19">
        <f t="shared" si="1"/>
        <v>0.7352845204811775</v>
      </c>
      <c r="E26" s="19"/>
      <c r="F26" s="15">
        <f t="shared" si="9"/>
        <v>0.5</v>
      </c>
      <c r="G26" s="15">
        <f t="shared" si="10"/>
        <v>0.34</v>
      </c>
      <c r="H26" s="15">
        <f t="shared" si="11"/>
        <v>0.6242105412903128</v>
      </c>
      <c r="I26" s="15">
        <f t="shared" si="12"/>
        <v>0.0168</v>
      </c>
      <c r="J26" s="19"/>
      <c r="K26" s="19">
        <f t="shared" si="13"/>
        <v>0.37813931834555303</v>
      </c>
      <c r="L26" s="19">
        <f t="shared" si="14"/>
        <v>0.26734194452824545</v>
      </c>
      <c r="M26" s="19">
        <f t="shared" si="15"/>
        <v>1.4144406670371978</v>
      </c>
      <c r="N26" s="19"/>
      <c r="O26" s="15">
        <f t="shared" si="16"/>
        <v>1.7141120660017506</v>
      </c>
      <c r="Q26" s="19"/>
      <c r="R26" s="15"/>
      <c r="S26" s="15"/>
      <c r="T26" s="15"/>
    </row>
    <row r="27" spans="1:20" ht="12.75">
      <c r="A27" s="13">
        <f t="shared" si="0"/>
        <v>2012</v>
      </c>
      <c r="C27" s="1">
        <f>C26*(1+C30)</f>
        <v>0.2756326225647138</v>
      </c>
      <c r="D27" s="19">
        <f t="shared" si="1"/>
        <v>0.7243673774352861</v>
      </c>
      <c r="E27" s="19"/>
      <c r="F27" s="15">
        <f t="shared" si="9"/>
        <v>0.5</v>
      </c>
      <c r="G27" s="15">
        <f t="shared" si="10"/>
        <v>0.34</v>
      </c>
      <c r="H27" s="15">
        <f t="shared" si="11"/>
        <v>0.6242105412903128</v>
      </c>
      <c r="I27" s="15">
        <f t="shared" si="12"/>
        <v>0.0168</v>
      </c>
      <c r="J27" s="19"/>
      <c r="K27" s="19">
        <f t="shared" si="13"/>
        <v>0.38748817851967327</v>
      </c>
      <c r="L27" s="19">
        <f t="shared" si="14"/>
        <v>0.26734194452824545</v>
      </c>
      <c r="M27" s="19">
        <f t="shared" si="15"/>
        <v>1.4494103392695792</v>
      </c>
      <c r="N27" s="19"/>
      <c r="O27" s="15">
        <f t="shared" si="16"/>
        <v>1.6812508934041668</v>
      </c>
      <c r="Q27" s="19"/>
      <c r="R27" s="15"/>
      <c r="S27" s="15"/>
      <c r="T27" s="15"/>
    </row>
    <row r="28" spans="1:20" ht="12.75">
      <c r="A28" s="13">
        <f t="shared" si="0"/>
        <v>2013</v>
      </c>
      <c r="C28" s="1">
        <v>0.287</v>
      </c>
      <c r="D28" s="19">
        <f t="shared" si="1"/>
        <v>0.7130000000000001</v>
      </c>
      <c r="E28" s="19"/>
      <c r="F28" s="15">
        <f t="shared" si="9"/>
        <v>0.5</v>
      </c>
      <c r="G28" s="15">
        <f t="shared" si="10"/>
        <v>0.34</v>
      </c>
      <c r="H28" s="15">
        <f t="shared" si="11"/>
        <v>0.6242105412903128</v>
      </c>
      <c r="I28" s="15">
        <f t="shared" si="12"/>
        <v>0.0168</v>
      </c>
      <c r="J28" s="19"/>
      <c r="K28" s="19">
        <f t="shared" si="13"/>
        <v>0.39720725508913723</v>
      </c>
      <c r="L28" s="19">
        <f t="shared" si="14"/>
        <v>0.26734194452824545</v>
      </c>
      <c r="M28" s="19">
        <f t="shared" si="15"/>
        <v>1.4857648162545296</v>
      </c>
      <c r="N28" s="19"/>
      <c r="O28" s="15">
        <f t="shared" si="16"/>
        <v>1.6481491276273836</v>
      </c>
      <c r="Q28" s="19"/>
      <c r="R28" s="15"/>
      <c r="S28" s="15"/>
      <c r="T28" s="15"/>
    </row>
    <row r="29" spans="3:20" ht="12.75">
      <c r="C29" s="19"/>
      <c r="D29" s="19"/>
      <c r="E29" s="19"/>
      <c r="F29" s="19"/>
      <c r="G29" s="19"/>
      <c r="H29" s="19"/>
      <c r="I29" s="19"/>
      <c r="J29" s="19"/>
      <c r="M29" s="19"/>
      <c r="N29" s="19"/>
      <c r="O29" s="15"/>
      <c r="Q29" s="19"/>
      <c r="R29" s="15"/>
      <c r="S29" s="15"/>
      <c r="T29" s="15"/>
    </row>
    <row r="30" spans="1:15" ht="12.75">
      <c r="A30" s="22" t="s">
        <v>385</v>
      </c>
      <c r="C30" s="13">
        <f>EXP(1/11*LN(C28/C17))-1</f>
        <v>0.041241045161906076</v>
      </c>
      <c r="H30" s="22" t="s">
        <v>77</v>
      </c>
      <c r="M30" s="19">
        <f>EXP(1/11*LN(M28/M17))-1</f>
        <v>0.023201270930755635</v>
      </c>
      <c r="O30" s="15"/>
    </row>
    <row r="31" spans="1:15" ht="12.75">
      <c r="A31" s="22"/>
      <c r="H31" s="22"/>
      <c r="O31" s="15"/>
    </row>
    <row r="32" spans="1:15" ht="12.75">
      <c r="A32" s="22" t="s">
        <v>386</v>
      </c>
      <c r="H32" s="22"/>
      <c r="O32" s="15"/>
    </row>
    <row r="34" spans="1:10" ht="12.75">
      <c r="A34" s="22" t="s">
        <v>384</v>
      </c>
      <c r="D34" s="19"/>
      <c r="J34" s="19"/>
    </row>
    <row r="35" spans="4:10" ht="12.75">
      <c r="D35" s="19"/>
      <c r="J35" s="19"/>
    </row>
    <row r="36" spans="1:15" ht="12.75">
      <c r="A36" s="13">
        <f>A28</f>
        <v>2013</v>
      </c>
      <c r="C36" s="19">
        <f>C17</f>
        <v>0.184</v>
      </c>
      <c r="D36" s="19">
        <f>D17</f>
        <v>0.8160000000000001</v>
      </c>
      <c r="F36" s="19">
        <f>F17</f>
        <v>0.5</v>
      </c>
      <c r="G36" s="19">
        <f>G17</f>
        <v>0.34</v>
      </c>
      <c r="H36" s="19">
        <f>H17</f>
        <v>0.6242105412903128</v>
      </c>
      <c r="I36" s="19">
        <f>I17</f>
        <v>0.0168</v>
      </c>
      <c r="K36" s="19">
        <f>(F36*H36*(1+I36)^(A36-1993)*C36^(G36)+(1-F36)*D36^(G36))^(1/G36)</f>
        <v>0.3675209048527561</v>
      </c>
      <c r="L36" s="19">
        <f>L28</f>
        <v>0.26734194452824545</v>
      </c>
      <c r="M36" s="19">
        <f>K36/L36</f>
        <v>1.3747221952069197</v>
      </c>
      <c r="N36" s="19"/>
      <c r="O36" s="15"/>
    </row>
    <row r="37" spans="4:10" ht="12.75">
      <c r="D37" s="19"/>
      <c r="J37" s="19"/>
    </row>
    <row r="38" spans="4:14" ht="12.75">
      <c r="D38" s="19"/>
      <c r="H38" s="22" t="s">
        <v>77</v>
      </c>
      <c r="J38" s="19"/>
      <c r="M38" s="19">
        <f>EXP(1/11*LN(M36/M17))-1</f>
        <v>0.016001247836512578</v>
      </c>
      <c r="N38" s="19"/>
    </row>
  </sheetData>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U49"/>
  <sheetViews>
    <sheetView workbookViewId="0" topLeftCell="A1">
      <selection activeCell="F6" sqref="F6"/>
    </sheetView>
  </sheetViews>
  <sheetFormatPr defaultColWidth="9.140625" defaultRowHeight="12.75"/>
  <cols>
    <col min="3" max="3" width="17.140625" style="0" customWidth="1"/>
    <col min="4" max="4" width="11.421875" style="0" customWidth="1"/>
    <col min="5" max="5" width="10.7109375" style="0" customWidth="1"/>
    <col min="6" max="6" width="12.140625" style="27" customWidth="1"/>
    <col min="10" max="10" width="10.421875" style="0" customWidth="1"/>
    <col min="11" max="11" width="8.140625" style="0" customWidth="1"/>
    <col min="12" max="12" width="7.00390625" style="0" customWidth="1"/>
    <col min="13" max="13" width="14.00390625" style="0" customWidth="1"/>
    <col min="14" max="14" width="9.00390625" style="0" customWidth="1"/>
    <col min="15" max="15" width="7.421875" style="0" customWidth="1"/>
    <col min="16" max="16" width="3.00390625" style="0" customWidth="1"/>
    <col min="18" max="18" width="2.7109375" style="0" customWidth="1"/>
    <col min="19" max="19" width="2.8515625" style="0" customWidth="1"/>
  </cols>
  <sheetData>
    <row r="1" ht="12.75">
      <c r="A1" t="s">
        <v>389</v>
      </c>
    </row>
    <row r="3" spans="1:13" ht="12.75">
      <c r="A3" t="s">
        <v>1</v>
      </c>
      <c r="C3" t="s">
        <v>74</v>
      </c>
      <c r="D3" t="s">
        <v>75</v>
      </c>
      <c r="E3" t="s">
        <v>76</v>
      </c>
      <c r="F3" s="27" t="s">
        <v>390</v>
      </c>
      <c r="H3" t="s">
        <v>392</v>
      </c>
      <c r="J3" t="s">
        <v>391</v>
      </c>
      <c r="K3" t="s">
        <v>393</v>
      </c>
      <c r="M3" t="s">
        <v>394</v>
      </c>
    </row>
    <row r="5" spans="1:21" ht="12.75">
      <c r="A5">
        <v>2002</v>
      </c>
      <c r="C5" s="1"/>
      <c r="D5" s="1"/>
      <c r="E5" s="1"/>
      <c r="G5" s="1"/>
      <c r="H5" s="1"/>
      <c r="I5" s="1"/>
      <c r="J5" s="1"/>
      <c r="K5" s="1">
        <v>1</v>
      </c>
      <c r="L5" s="1"/>
      <c r="O5" s="1"/>
      <c r="Q5" s="1"/>
      <c r="U5" s="11"/>
    </row>
    <row r="6" spans="1:21" ht="12.75">
      <c r="A6">
        <f aca="true" t="shared" si="0" ref="A6:A16">A5+1</f>
        <v>2003</v>
      </c>
      <c r="C6" s="1">
        <v>0.005</v>
      </c>
      <c r="D6" s="1">
        <v>0.0012</v>
      </c>
      <c r="E6" s="1">
        <v>0.023</v>
      </c>
      <c r="F6" s="27">
        <f>EXP(1/11*LN(2.4/2.14))-1</f>
        <v>0.010478418875689455</v>
      </c>
      <c r="G6" s="1"/>
      <c r="H6" s="1">
        <v>0.7</v>
      </c>
      <c r="I6" s="1"/>
      <c r="J6" s="27">
        <f aca="true" t="shared" si="1" ref="J6:J16">1/H6*C6+D6+E6+(1-H6)/H6*F6</f>
        <v>0.0358336080895812</v>
      </c>
      <c r="K6" s="1">
        <f aca="true" t="shared" si="2" ref="K6:K16">K5*(1+J6)</f>
        <v>1.0358336080895811</v>
      </c>
      <c r="L6" s="28"/>
      <c r="M6" s="1">
        <f aca="true" t="shared" si="3" ref="M6:M16">J6-D6</f>
        <v>0.0346336080895812</v>
      </c>
      <c r="O6" s="1"/>
      <c r="Q6" s="1"/>
      <c r="T6" s="27"/>
      <c r="U6" s="11"/>
    </row>
    <row r="7" spans="1:21" ht="12.75">
      <c r="A7">
        <f t="shared" si="0"/>
        <v>2004</v>
      </c>
      <c r="C7" s="1">
        <f aca="true" t="shared" si="4" ref="C7:C16">C6</f>
        <v>0.005</v>
      </c>
      <c r="D7" s="1">
        <f aca="true" t="shared" si="5" ref="D7:D16">D6</f>
        <v>0.0012</v>
      </c>
      <c r="E7" s="1">
        <f aca="true" t="shared" si="6" ref="E7:E16">E6</f>
        <v>0.023</v>
      </c>
      <c r="F7" s="27">
        <f aca="true" t="shared" si="7" ref="F7:F16">F6</f>
        <v>0.010478418875689455</v>
      </c>
      <c r="G7" s="1"/>
      <c r="H7" s="1">
        <f aca="true" t="shared" si="8" ref="H7:H16">H6</f>
        <v>0.7</v>
      </c>
      <c r="I7" s="1"/>
      <c r="J7" s="27">
        <f t="shared" si="1"/>
        <v>0.0358336080895812</v>
      </c>
      <c r="K7" s="1">
        <f t="shared" si="2"/>
        <v>1.07295126364788</v>
      </c>
      <c r="L7" s="28"/>
      <c r="M7" s="1">
        <f t="shared" si="3"/>
        <v>0.0346336080895812</v>
      </c>
      <c r="O7" s="1"/>
      <c r="Q7" s="1"/>
      <c r="T7" s="1"/>
      <c r="U7" s="11"/>
    </row>
    <row r="8" spans="1:21" ht="12.75">
      <c r="A8">
        <f t="shared" si="0"/>
        <v>2005</v>
      </c>
      <c r="C8" s="1">
        <f t="shared" si="4"/>
        <v>0.005</v>
      </c>
      <c r="D8" s="1">
        <f t="shared" si="5"/>
        <v>0.0012</v>
      </c>
      <c r="E8" s="1">
        <f t="shared" si="6"/>
        <v>0.023</v>
      </c>
      <c r="F8" s="27">
        <f t="shared" si="7"/>
        <v>0.010478418875689455</v>
      </c>
      <c r="G8" s="1"/>
      <c r="H8" s="1">
        <f t="shared" si="8"/>
        <v>0.7</v>
      </c>
      <c r="I8" s="1"/>
      <c r="J8" s="27">
        <f t="shared" si="1"/>
        <v>0.0358336080895812</v>
      </c>
      <c r="K8" s="1">
        <f t="shared" si="2"/>
        <v>1.111398978728659</v>
      </c>
      <c r="L8" s="28"/>
      <c r="M8" s="1">
        <f t="shared" si="3"/>
        <v>0.0346336080895812</v>
      </c>
      <c r="O8" s="1"/>
      <c r="Q8" s="1"/>
      <c r="T8" s="1"/>
      <c r="U8" s="11"/>
    </row>
    <row r="9" spans="1:21" ht="12.75">
      <c r="A9">
        <f t="shared" si="0"/>
        <v>2006</v>
      </c>
      <c r="C9" s="1">
        <f t="shared" si="4"/>
        <v>0.005</v>
      </c>
      <c r="D9" s="1">
        <f t="shared" si="5"/>
        <v>0.0012</v>
      </c>
      <c r="E9" s="1">
        <f t="shared" si="6"/>
        <v>0.023</v>
      </c>
      <c r="F9" s="27">
        <f t="shared" si="7"/>
        <v>0.010478418875689455</v>
      </c>
      <c r="G9" s="1"/>
      <c r="H9" s="1">
        <f t="shared" si="8"/>
        <v>0.7</v>
      </c>
      <c r="I9" s="1"/>
      <c r="J9" s="27">
        <f t="shared" si="1"/>
        <v>0.0358336080895812</v>
      </c>
      <c r="K9" s="1">
        <f t="shared" si="2"/>
        <v>1.1512244141635823</v>
      </c>
      <c r="L9" s="28"/>
      <c r="M9" s="1">
        <f t="shared" si="3"/>
        <v>0.0346336080895812</v>
      </c>
      <c r="O9" s="1"/>
      <c r="Q9" s="1"/>
      <c r="T9" s="1"/>
      <c r="U9" s="11"/>
    </row>
    <row r="10" spans="1:21" ht="12.75">
      <c r="A10">
        <f t="shared" si="0"/>
        <v>2007</v>
      </c>
      <c r="C10" s="1">
        <f t="shared" si="4"/>
        <v>0.005</v>
      </c>
      <c r="D10" s="1">
        <f t="shared" si="5"/>
        <v>0.0012</v>
      </c>
      <c r="E10" s="1">
        <f t="shared" si="6"/>
        <v>0.023</v>
      </c>
      <c r="F10" s="27">
        <f t="shared" si="7"/>
        <v>0.010478418875689455</v>
      </c>
      <c r="G10" s="1"/>
      <c r="H10" s="1">
        <f t="shared" si="8"/>
        <v>0.7</v>
      </c>
      <c r="I10" s="1"/>
      <c r="J10" s="27">
        <f t="shared" si="1"/>
        <v>0.0358336080895812</v>
      </c>
      <c r="K10" s="1">
        <f t="shared" si="2"/>
        <v>1.1924769386438778</v>
      </c>
      <c r="L10" s="28"/>
      <c r="M10" s="1">
        <f t="shared" si="3"/>
        <v>0.0346336080895812</v>
      </c>
      <c r="O10" s="1"/>
      <c r="Q10" s="1"/>
      <c r="T10" s="1"/>
      <c r="U10" s="11"/>
    </row>
    <row r="11" spans="1:21" ht="12.75">
      <c r="A11">
        <f t="shared" si="0"/>
        <v>2008</v>
      </c>
      <c r="C11" s="1">
        <f t="shared" si="4"/>
        <v>0.005</v>
      </c>
      <c r="D11" s="1">
        <f t="shared" si="5"/>
        <v>0.0012</v>
      </c>
      <c r="E11" s="1">
        <f t="shared" si="6"/>
        <v>0.023</v>
      </c>
      <c r="F11" s="27">
        <f t="shared" si="7"/>
        <v>0.010478418875689455</v>
      </c>
      <c r="G11" s="1"/>
      <c r="H11" s="1">
        <f t="shared" si="8"/>
        <v>0.7</v>
      </c>
      <c r="I11" s="1"/>
      <c r="J11" s="27">
        <f t="shared" si="1"/>
        <v>0.0358336080895812</v>
      </c>
      <c r="K11" s="1">
        <f t="shared" si="2"/>
        <v>1.235207689919106</v>
      </c>
      <c r="L11" s="28"/>
      <c r="M11" s="1">
        <f t="shared" si="3"/>
        <v>0.0346336080895812</v>
      </c>
      <c r="O11" s="1"/>
      <c r="Q11" s="1"/>
      <c r="T11" s="1"/>
      <c r="U11" s="11"/>
    </row>
    <row r="12" spans="1:21" ht="12.75">
      <c r="A12">
        <f t="shared" si="0"/>
        <v>2009</v>
      </c>
      <c r="C12" s="1">
        <f t="shared" si="4"/>
        <v>0.005</v>
      </c>
      <c r="D12" s="1">
        <f t="shared" si="5"/>
        <v>0.0012</v>
      </c>
      <c r="E12" s="1">
        <f t="shared" si="6"/>
        <v>0.023</v>
      </c>
      <c r="F12" s="27">
        <f t="shared" si="7"/>
        <v>0.010478418875689455</v>
      </c>
      <c r="G12" s="1"/>
      <c r="H12" s="1">
        <f t="shared" si="8"/>
        <v>0.7</v>
      </c>
      <c r="I12" s="1"/>
      <c r="J12" s="27">
        <f t="shared" si="1"/>
        <v>0.0358336080895812</v>
      </c>
      <c r="K12" s="1">
        <f t="shared" si="2"/>
        <v>1.2794696381889041</v>
      </c>
      <c r="L12" s="28"/>
      <c r="M12" s="1">
        <f t="shared" si="3"/>
        <v>0.0346336080895812</v>
      </c>
      <c r="O12" s="1"/>
      <c r="Q12" s="1"/>
      <c r="T12" s="1"/>
      <c r="U12" s="11"/>
    </row>
    <row r="13" spans="1:21" ht="12.75">
      <c r="A13">
        <f t="shared" si="0"/>
        <v>2010</v>
      </c>
      <c r="C13" s="1">
        <f t="shared" si="4"/>
        <v>0.005</v>
      </c>
      <c r="D13" s="1">
        <f t="shared" si="5"/>
        <v>0.0012</v>
      </c>
      <c r="E13" s="1">
        <f t="shared" si="6"/>
        <v>0.023</v>
      </c>
      <c r="F13" s="27">
        <f t="shared" si="7"/>
        <v>0.010478418875689455</v>
      </c>
      <c r="G13" s="1"/>
      <c r="H13" s="1">
        <f t="shared" si="8"/>
        <v>0.7</v>
      </c>
      <c r="I13" s="1"/>
      <c r="J13" s="27">
        <f t="shared" si="1"/>
        <v>0.0358336080895812</v>
      </c>
      <c r="K13" s="1">
        <f t="shared" si="2"/>
        <v>1.3253176517662835</v>
      </c>
      <c r="L13" s="28"/>
      <c r="M13" s="1">
        <f t="shared" si="3"/>
        <v>0.0346336080895812</v>
      </c>
      <c r="O13" s="1"/>
      <c r="Q13" s="1"/>
      <c r="T13" s="1"/>
      <c r="U13" s="11"/>
    </row>
    <row r="14" spans="1:21" ht="12.75">
      <c r="A14">
        <f t="shared" si="0"/>
        <v>2011</v>
      </c>
      <c r="C14" s="1">
        <f t="shared" si="4"/>
        <v>0.005</v>
      </c>
      <c r="D14" s="1">
        <f t="shared" si="5"/>
        <v>0.0012</v>
      </c>
      <c r="E14" s="1">
        <f t="shared" si="6"/>
        <v>0.023</v>
      </c>
      <c r="F14" s="27">
        <f t="shared" si="7"/>
        <v>0.010478418875689455</v>
      </c>
      <c r="G14" s="1"/>
      <c r="H14" s="1">
        <f t="shared" si="8"/>
        <v>0.7</v>
      </c>
      <c r="I14" s="1"/>
      <c r="J14" s="27">
        <f t="shared" si="1"/>
        <v>0.0358336080895812</v>
      </c>
      <c r="K14" s="1">
        <f t="shared" si="2"/>
        <v>1.3728085650938804</v>
      </c>
      <c r="L14" s="28"/>
      <c r="M14" s="1">
        <f t="shared" si="3"/>
        <v>0.0346336080895812</v>
      </c>
      <c r="O14" s="1"/>
      <c r="Q14" s="1"/>
      <c r="T14" s="1"/>
      <c r="U14" s="11"/>
    </row>
    <row r="15" spans="1:21" ht="12.75">
      <c r="A15">
        <f t="shared" si="0"/>
        <v>2012</v>
      </c>
      <c r="C15" s="1">
        <f t="shared" si="4"/>
        <v>0.005</v>
      </c>
      <c r="D15" s="1">
        <f t="shared" si="5"/>
        <v>0.0012</v>
      </c>
      <c r="E15" s="1">
        <f t="shared" si="6"/>
        <v>0.023</v>
      </c>
      <c r="F15" s="27">
        <f t="shared" si="7"/>
        <v>0.010478418875689455</v>
      </c>
      <c r="G15" s="1"/>
      <c r="H15" s="1">
        <f t="shared" si="8"/>
        <v>0.7</v>
      </c>
      <c r="I15" s="1"/>
      <c r="J15" s="27">
        <f t="shared" si="1"/>
        <v>0.0358336080895812</v>
      </c>
      <c r="K15" s="1">
        <f t="shared" si="2"/>
        <v>1.4220012491974747</v>
      </c>
      <c r="L15" s="28"/>
      <c r="M15" s="1">
        <f t="shared" si="3"/>
        <v>0.0346336080895812</v>
      </c>
      <c r="O15" s="1"/>
      <c r="Q15" s="1"/>
      <c r="T15" s="1"/>
      <c r="U15" s="11"/>
    </row>
    <row r="16" spans="1:21" ht="12.75">
      <c r="A16">
        <f t="shared" si="0"/>
        <v>2013</v>
      </c>
      <c r="C16" s="1">
        <f t="shared" si="4"/>
        <v>0.005</v>
      </c>
      <c r="D16" s="1">
        <f t="shared" si="5"/>
        <v>0.0012</v>
      </c>
      <c r="E16" s="1">
        <f t="shared" si="6"/>
        <v>0.023</v>
      </c>
      <c r="F16" s="27">
        <f t="shared" si="7"/>
        <v>0.010478418875689455</v>
      </c>
      <c r="G16" s="1"/>
      <c r="H16" s="1">
        <f t="shared" si="8"/>
        <v>0.7</v>
      </c>
      <c r="I16" s="1"/>
      <c r="J16" s="27">
        <f t="shared" si="1"/>
        <v>0.0358336080895812</v>
      </c>
      <c r="K16" s="1">
        <f t="shared" si="2"/>
        <v>1.4729566846641118</v>
      </c>
      <c r="L16" s="28"/>
      <c r="M16" s="1">
        <f t="shared" si="3"/>
        <v>0.0346336080895812</v>
      </c>
      <c r="O16" s="1"/>
      <c r="Q16" s="1"/>
      <c r="T16" s="1"/>
      <c r="U16" s="11"/>
    </row>
    <row r="17" spans="3:21" ht="12.75">
      <c r="C17" s="1"/>
      <c r="D17" s="1"/>
      <c r="E17" s="1"/>
      <c r="G17" s="1"/>
      <c r="H17" s="1"/>
      <c r="I17" s="1"/>
      <c r="J17" s="1"/>
      <c r="K17" s="1"/>
      <c r="L17" s="28"/>
      <c r="M17" s="1"/>
      <c r="O17" s="1"/>
      <c r="Q17" s="1"/>
      <c r="T17" s="1"/>
      <c r="U17" s="11"/>
    </row>
    <row r="18" spans="3:21" ht="12.75">
      <c r="C18" s="1"/>
      <c r="D18" s="1"/>
      <c r="E18" s="1"/>
      <c r="G18" s="1"/>
      <c r="H18" s="1"/>
      <c r="I18" s="1"/>
      <c r="J18" s="1"/>
      <c r="K18" s="1"/>
      <c r="L18" s="28"/>
      <c r="M18" s="1"/>
      <c r="O18" s="1"/>
      <c r="Q18" s="1"/>
      <c r="T18" s="1"/>
      <c r="U18" s="11"/>
    </row>
    <row r="19" spans="3:21" ht="12.75">
      <c r="C19" s="1"/>
      <c r="D19" s="1"/>
      <c r="E19" s="1"/>
      <c r="G19" s="1"/>
      <c r="H19" s="1"/>
      <c r="I19" s="1"/>
      <c r="J19" s="1"/>
      <c r="K19" s="1"/>
      <c r="L19" s="28"/>
      <c r="M19" s="1"/>
      <c r="O19" s="1"/>
      <c r="Q19" s="1"/>
      <c r="T19" s="1"/>
      <c r="U19" s="11"/>
    </row>
    <row r="20" spans="3:21" ht="12.75">
      <c r="C20" s="1"/>
      <c r="D20" s="1"/>
      <c r="E20" s="1"/>
      <c r="G20" s="1"/>
      <c r="H20" s="1"/>
      <c r="I20" s="1"/>
      <c r="J20" s="1"/>
      <c r="K20" s="1"/>
      <c r="L20" s="28"/>
      <c r="M20" s="1"/>
      <c r="O20" s="1"/>
      <c r="Q20" s="1"/>
      <c r="T20" s="1"/>
      <c r="U20" s="11"/>
    </row>
    <row r="46" ht="12.75">
      <c r="A46" s="13"/>
    </row>
    <row r="47" ht="12.75">
      <c r="A47" s="13"/>
    </row>
    <row r="48" ht="12.75">
      <c r="A48" s="13"/>
    </row>
    <row r="49" ht="12.75">
      <c r="A49" s="13"/>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U49"/>
  <sheetViews>
    <sheetView workbookViewId="0" topLeftCell="A1">
      <selection activeCell="J39" sqref="J39"/>
    </sheetView>
  </sheetViews>
  <sheetFormatPr defaultColWidth="9.140625" defaultRowHeight="12.75"/>
  <cols>
    <col min="5" max="5" width="14.28125" style="0" customWidth="1"/>
  </cols>
  <sheetData>
    <row r="1" spans="1:16" s="13" customFormat="1" ht="12.75">
      <c r="A1" s="22" t="s">
        <v>264</v>
      </c>
      <c r="J1" s="22" t="s">
        <v>71</v>
      </c>
      <c r="K1" s="22"/>
      <c r="L1" s="22" t="s">
        <v>276</v>
      </c>
      <c r="P1" s="22"/>
    </row>
    <row r="2" spans="20:21" s="13" customFormat="1" ht="12.75">
      <c r="T2" s="20"/>
      <c r="U2" s="20"/>
    </row>
    <row r="3" spans="3:21" s="13" customFormat="1" ht="12.75">
      <c r="C3" s="13" t="s">
        <v>44</v>
      </c>
      <c r="D3" s="13" t="s">
        <v>45</v>
      </c>
      <c r="E3" s="13" t="s">
        <v>46</v>
      </c>
      <c r="F3" s="13" t="s">
        <v>47</v>
      </c>
      <c r="G3" s="22" t="s">
        <v>26</v>
      </c>
      <c r="H3" s="22" t="s">
        <v>27</v>
      </c>
      <c r="I3" s="22"/>
      <c r="J3" s="22" t="s">
        <v>73</v>
      </c>
      <c r="K3" s="22" t="s">
        <v>507</v>
      </c>
      <c r="L3" s="22" t="s">
        <v>72</v>
      </c>
      <c r="M3" s="22" t="s">
        <v>48</v>
      </c>
      <c r="N3" s="22" t="s">
        <v>51</v>
      </c>
      <c r="T3" s="20"/>
      <c r="U3" s="20"/>
    </row>
    <row r="4" spans="20:21" s="13" customFormat="1" ht="12.75">
      <c r="T4" s="20"/>
      <c r="U4" s="20"/>
    </row>
    <row r="5" spans="1:21" s="13" customFormat="1" ht="12.75">
      <c r="A5" s="13">
        <v>1993</v>
      </c>
      <c r="C5" s="14">
        <v>2164094.5580999996</v>
      </c>
      <c r="D5" s="15">
        <v>886.7661316098731</v>
      </c>
      <c r="E5" s="16">
        <v>3676171260.4204464</v>
      </c>
      <c r="F5" s="19">
        <v>1</v>
      </c>
      <c r="G5" s="15">
        <v>0.7</v>
      </c>
      <c r="H5" s="15">
        <f aca="true" t="shared" si="0" ref="H5:H14">1-G5</f>
        <v>0.30000000000000004</v>
      </c>
      <c r="J5" s="17"/>
      <c r="K5" s="17"/>
      <c r="L5" s="18"/>
      <c r="P5" s="20"/>
      <c r="Q5" s="20"/>
      <c r="R5" s="20"/>
      <c r="T5" s="20"/>
      <c r="U5" s="20"/>
    </row>
    <row r="6" spans="1:21" s="13" customFormat="1" ht="12.75">
      <c r="A6" s="13">
        <f aca="true" t="shared" si="1" ref="A6:A25">A5+1</f>
        <v>1994</v>
      </c>
      <c r="C6" s="14">
        <v>2279186.31</v>
      </c>
      <c r="D6" s="15">
        <v>883.2190670834336</v>
      </c>
      <c r="E6" s="16">
        <v>3819331627.888913</v>
      </c>
      <c r="F6" s="19">
        <v>1.0148890069781498</v>
      </c>
      <c r="G6" s="15">
        <f aca="true" t="shared" si="2" ref="G6:G14">G5</f>
        <v>0.7</v>
      </c>
      <c r="H6" s="15">
        <f t="shared" si="0"/>
        <v>0.30000000000000004</v>
      </c>
      <c r="J6" s="19">
        <f aca="true" t="shared" si="3" ref="J6:J14">LN(C6/C5)-(H6+H5)/2*LN(E6/E5)-(G6+G5)/2*LN(D6/D5)-(G6+G5)/2*LN(F6/F5)</f>
        <v>0.03281548443577432</v>
      </c>
      <c r="K6" s="19">
        <f>(C6-C5)/C5</f>
        <v>0.05318240437749037</v>
      </c>
      <c r="L6" s="19">
        <f aca="true" t="shared" si="4" ref="L6:L14">(G6+G5)/2*LN(D6/D5)</f>
        <v>-0.002805614978277175</v>
      </c>
      <c r="M6" s="19">
        <f aca="true" t="shared" si="5" ref="M6:M14">(H6+H5)/2*LN(E6/E5)</f>
        <v>0.011461094574865677</v>
      </c>
      <c r="N6" s="19">
        <f aca="true" t="shared" si="6" ref="N6:N14">(G6+G5)/2*LN(F6/F5)</f>
        <v>0.010345477648392552</v>
      </c>
      <c r="P6" s="20"/>
      <c r="Q6" s="20"/>
      <c r="R6" s="20"/>
      <c r="T6" s="20"/>
      <c r="U6" s="20"/>
    </row>
    <row r="7" spans="1:21" s="13" customFormat="1" ht="12.75">
      <c r="A7" s="13">
        <f t="shared" si="1"/>
        <v>1995</v>
      </c>
      <c r="C7" s="14">
        <v>2372657</v>
      </c>
      <c r="D7" s="15">
        <v>892.4170113007934</v>
      </c>
      <c r="E7" s="16">
        <v>4022354755.797245</v>
      </c>
      <c r="F7" s="19">
        <v>1.0225740820197315</v>
      </c>
      <c r="G7" s="15">
        <f t="shared" si="2"/>
        <v>0.7</v>
      </c>
      <c r="H7" s="15">
        <f t="shared" si="0"/>
        <v>0.30000000000000004</v>
      </c>
      <c r="J7" s="19">
        <f t="shared" si="3"/>
        <v>0.012121465720113717</v>
      </c>
      <c r="K7" s="19">
        <f aca="true" t="shared" si="7" ref="K7:K14">(C7-C6)/C6</f>
        <v>0.041010552577423975</v>
      </c>
      <c r="L7" s="19">
        <f t="shared" si="4"/>
        <v>0.007252182607323021</v>
      </c>
      <c r="M7" s="19">
        <f t="shared" si="5"/>
        <v>0.015537615150047365</v>
      </c>
      <c r="N7" s="19">
        <f t="shared" si="6"/>
        <v>0.005280663065951816</v>
      </c>
      <c r="O7" s="19"/>
      <c r="P7" s="20"/>
      <c r="Q7" s="20"/>
      <c r="R7" s="20"/>
      <c r="T7" s="20"/>
      <c r="U7" s="20"/>
    </row>
    <row r="8" spans="1:21" s="13" customFormat="1" ht="12.75">
      <c r="A8" s="13">
        <f t="shared" si="1"/>
        <v>1996</v>
      </c>
      <c r="C8" s="14">
        <v>2460053.201082056</v>
      </c>
      <c r="D8" s="15">
        <v>883.7601226256311</v>
      </c>
      <c r="E8" s="16">
        <v>4265435055.1898003</v>
      </c>
      <c r="F8" s="19">
        <v>1.027114026869144</v>
      </c>
      <c r="G8" s="15">
        <f t="shared" si="2"/>
        <v>0.7</v>
      </c>
      <c r="H8" s="15">
        <f t="shared" si="0"/>
        <v>0.30000000000000004</v>
      </c>
      <c r="J8" s="19">
        <f t="shared" si="3"/>
        <v>0.022292115265500286</v>
      </c>
      <c r="K8" s="19">
        <f t="shared" si="7"/>
        <v>0.036834738894857506</v>
      </c>
      <c r="L8" s="19">
        <f t="shared" si="4"/>
        <v>-0.006823497432555865</v>
      </c>
      <c r="M8" s="19">
        <f t="shared" si="5"/>
        <v>0.01760300710757192</v>
      </c>
      <c r="N8" s="19">
        <f t="shared" si="6"/>
        <v>0.0031009269925751765</v>
      </c>
      <c r="O8" s="19"/>
      <c r="P8" s="20"/>
      <c r="Q8" s="20"/>
      <c r="R8" s="20"/>
      <c r="T8" s="20"/>
      <c r="U8" s="20"/>
    </row>
    <row r="9" spans="1:21" s="13" customFormat="1" ht="12.75">
      <c r="A9" s="13">
        <f t="shared" si="1"/>
        <v>1997</v>
      </c>
      <c r="C9" s="14">
        <v>2577569.717021164</v>
      </c>
      <c r="D9" s="15">
        <v>879.2152560711709</v>
      </c>
      <c r="E9" s="16">
        <v>4563783165.652029</v>
      </c>
      <c r="F9" s="19">
        <v>1.0449279443408852</v>
      </c>
      <c r="G9" s="15">
        <f t="shared" si="2"/>
        <v>0.7</v>
      </c>
      <c r="H9" s="15">
        <f t="shared" si="0"/>
        <v>0.30000000000000004</v>
      </c>
      <c r="J9" s="19">
        <f t="shared" si="3"/>
        <v>0.017954344675693994</v>
      </c>
      <c r="K9" s="19">
        <f t="shared" si="7"/>
        <v>0.04776990834483514</v>
      </c>
      <c r="L9" s="19">
        <f t="shared" si="4"/>
        <v>-0.0036091413122362383</v>
      </c>
      <c r="M9" s="19">
        <f t="shared" si="5"/>
        <v>0.020282321852021407</v>
      </c>
      <c r="N9" s="19">
        <f t="shared" si="6"/>
        <v>0.012036483471986336</v>
      </c>
      <c r="O9" s="19"/>
      <c r="P9" s="20"/>
      <c r="Q9" s="20"/>
      <c r="R9" s="20"/>
      <c r="T9" s="20"/>
      <c r="U9" s="20"/>
    </row>
    <row r="10" spans="1:21" s="13" customFormat="1" ht="12.75">
      <c r="A10" s="13">
        <f t="shared" si="1"/>
        <v>1998</v>
      </c>
      <c r="C10" s="14">
        <v>2668803.591600994</v>
      </c>
      <c r="D10" s="15">
        <v>879.3234671796105</v>
      </c>
      <c r="E10" s="16">
        <v>4901238581.613424</v>
      </c>
      <c r="F10" s="19">
        <v>1.0705588421125383</v>
      </c>
      <c r="G10" s="15">
        <f t="shared" si="2"/>
        <v>0.7</v>
      </c>
      <c r="H10" s="15">
        <f t="shared" si="0"/>
        <v>0.30000000000000004</v>
      </c>
      <c r="J10" s="19">
        <f t="shared" si="3"/>
        <v>-0.003666666534414123</v>
      </c>
      <c r="K10" s="19">
        <f t="shared" si="7"/>
        <v>0.035395308215083666</v>
      </c>
      <c r="L10" s="19">
        <f t="shared" si="4"/>
        <v>8.61485448138095E-05</v>
      </c>
      <c r="M10" s="19">
        <f t="shared" si="5"/>
        <v>0.021400807133617836</v>
      </c>
      <c r="N10" s="19">
        <f t="shared" si="6"/>
        <v>0.016963004957112497</v>
      </c>
      <c r="O10" s="19"/>
      <c r="P10" s="20"/>
      <c r="Q10" s="20"/>
      <c r="R10" s="20"/>
      <c r="T10" s="20"/>
      <c r="U10" s="20"/>
    </row>
    <row r="11" spans="1:21" s="13" customFormat="1" ht="12.75">
      <c r="A11" s="13">
        <f t="shared" si="1"/>
        <v>1999</v>
      </c>
      <c r="C11" s="14">
        <v>2818198.9676663172</v>
      </c>
      <c r="D11" s="15">
        <v>890.1445780235634</v>
      </c>
      <c r="E11" s="16">
        <v>5356531196.819725</v>
      </c>
      <c r="F11" s="19">
        <v>1.0922249230438312</v>
      </c>
      <c r="G11" s="15">
        <f t="shared" si="2"/>
        <v>0.7</v>
      </c>
      <c r="H11" s="15">
        <f t="shared" si="0"/>
        <v>0.30000000000000004</v>
      </c>
      <c r="J11" s="19">
        <f t="shared" si="3"/>
        <v>0.005232166099968466</v>
      </c>
      <c r="K11" s="19">
        <f t="shared" si="7"/>
        <v>0.05597840790363371</v>
      </c>
      <c r="L11" s="19">
        <f t="shared" si="4"/>
        <v>0.008561750569888215</v>
      </c>
      <c r="M11" s="19">
        <f t="shared" si="5"/>
        <v>0.0266485967627198</v>
      </c>
      <c r="N11" s="19">
        <f t="shared" si="6"/>
        <v>0.014025224581496238</v>
      </c>
      <c r="O11" s="19"/>
      <c r="P11" s="20"/>
      <c r="Q11" s="20"/>
      <c r="R11" s="20"/>
      <c r="T11" s="20"/>
      <c r="U11" s="20"/>
    </row>
    <row r="12" spans="1:21" s="13" customFormat="1" ht="12.75">
      <c r="A12" s="13">
        <f t="shared" si="1"/>
        <v>2000</v>
      </c>
      <c r="C12" s="14">
        <v>2928821.050097774</v>
      </c>
      <c r="D12" s="15">
        <v>900.1</v>
      </c>
      <c r="E12" s="16">
        <v>5782749177.526379</v>
      </c>
      <c r="F12" s="19">
        <v>1.1105085077175016</v>
      </c>
      <c r="G12" s="15">
        <f t="shared" si="2"/>
        <v>0.7</v>
      </c>
      <c r="H12" s="15">
        <f t="shared" si="0"/>
        <v>0.30000000000000004</v>
      </c>
      <c r="J12" s="19">
        <f t="shared" si="3"/>
        <v>-0.003873045586752653</v>
      </c>
      <c r="K12" s="19">
        <f t="shared" si="7"/>
        <v>0.03925275812696079</v>
      </c>
      <c r="L12" s="19">
        <f t="shared" si="4"/>
        <v>0.007785380058741212</v>
      </c>
      <c r="M12" s="19">
        <f t="shared" si="5"/>
        <v>0.022968781514010345</v>
      </c>
      <c r="N12" s="19">
        <f t="shared" si="6"/>
        <v>0.011620837120156553</v>
      </c>
      <c r="O12" s="19"/>
      <c r="P12" s="20"/>
      <c r="Q12" s="20"/>
      <c r="R12" s="20"/>
      <c r="T12" s="20"/>
      <c r="U12" s="20"/>
    </row>
    <row r="13" spans="1:21" s="13" customFormat="1" ht="12.75">
      <c r="A13" s="13">
        <f t="shared" si="1"/>
        <v>2001</v>
      </c>
      <c r="C13" s="14">
        <v>3006181.355828385</v>
      </c>
      <c r="D13" s="15">
        <v>904.3</v>
      </c>
      <c r="E13" s="16">
        <v>6211398277.6616955</v>
      </c>
      <c r="F13" s="19">
        <v>1.1270168498481106</v>
      </c>
      <c r="G13" s="15">
        <f t="shared" si="2"/>
        <v>0.7</v>
      </c>
      <c r="H13" s="15">
        <f t="shared" si="0"/>
        <v>0.30000000000000004</v>
      </c>
      <c r="J13" s="19">
        <f t="shared" si="3"/>
        <v>-0.008969417559880972</v>
      </c>
      <c r="K13" s="19">
        <f t="shared" si="7"/>
        <v>0.026413462757660985</v>
      </c>
      <c r="L13" s="19">
        <f t="shared" si="4"/>
        <v>0.0032587068383763715</v>
      </c>
      <c r="M13" s="19">
        <f t="shared" si="5"/>
        <v>0.02145204906868833</v>
      </c>
      <c r="N13" s="19">
        <f t="shared" si="6"/>
        <v>0.010329312368607874</v>
      </c>
      <c r="O13" s="19"/>
      <c r="P13" s="20"/>
      <c r="Q13" s="20"/>
      <c r="R13" s="20"/>
      <c r="T13" s="20"/>
      <c r="U13" s="20"/>
    </row>
    <row r="14" spans="1:21" s="13" customFormat="1" ht="12.75">
      <c r="A14" s="13">
        <f t="shared" si="1"/>
        <v>2002</v>
      </c>
      <c r="C14" s="14">
        <v>3106567.710168912</v>
      </c>
      <c r="D14" s="15">
        <v>899.5</v>
      </c>
      <c r="E14" s="16">
        <v>6634780780.866711</v>
      </c>
      <c r="F14" s="19">
        <v>1.1544584044513768</v>
      </c>
      <c r="G14" s="15">
        <f t="shared" si="2"/>
        <v>0.7</v>
      </c>
      <c r="H14" s="15">
        <f t="shared" si="0"/>
        <v>0.30000000000000004</v>
      </c>
      <c r="J14" s="19">
        <f t="shared" si="3"/>
        <v>-4.8528240126077815E-05</v>
      </c>
      <c r="K14" s="19">
        <f t="shared" si="7"/>
        <v>0.033393312797279556</v>
      </c>
      <c r="L14" s="19">
        <f t="shared" si="4"/>
        <v>-0.003725477249092594</v>
      </c>
      <c r="M14" s="19">
        <f t="shared" si="5"/>
        <v>0.019781877403451522</v>
      </c>
      <c r="N14" s="19">
        <f t="shared" si="6"/>
        <v>0.016839993866761625</v>
      </c>
      <c r="O14" s="19"/>
      <c r="P14" s="20"/>
      <c r="Q14" s="20"/>
      <c r="R14" s="20"/>
      <c r="T14" s="20"/>
      <c r="U14" s="20"/>
    </row>
    <row r="15" ht="12.75">
      <c r="A15" s="13">
        <f t="shared" si="1"/>
        <v>2003</v>
      </c>
    </row>
    <row r="16" ht="12.75">
      <c r="A16" s="13">
        <f t="shared" si="1"/>
        <v>2004</v>
      </c>
    </row>
    <row r="17" ht="12.75">
      <c r="A17" s="13">
        <f t="shared" si="1"/>
        <v>2005</v>
      </c>
    </row>
    <row r="18" ht="12.75">
      <c r="A18" s="13">
        <f t="shared" si="1"/>
        <v>2006</v>
      </c>
    </row>
    <row r="19" ht="12.75">
      <c r="A19" s="13">
        <f t="shared" si="1"/>
        <v>2007</v>
      </c>
    </row>
    <row r="20" ht="12.75">
      <c r="A20" s="13">
        <f t="shared" si="1"/>
        <v>2008</v>
      </c>
    </row>
    <row r="21" ht="12.75">
      <c r="A21" s="13">
        <f t="shared" si="1"/>
        <v>2009</v>
      </c>
    </row>
    <row r="22" ht="12.75">
      <c r="A22" s="13">
        <f t="shared" si="1"/>
        <v>2010</v>
      </c>
    </row>
    <row r="23" ht="12.75">
      <c r="A23" s="13">
        <f t="shared" si="1"/>
        <v>2011</v>
      </c>
    </row>
    <row r="24" ht="12.75">
      <c r="A24" s="13">
        <f t="shared" si="1"/>
        <v>2012</v>
      </c>
    </row>
    <row r="25" ht="12.75">
      <c r="A25" s="13">
        <f t="shared" si="1"/>
        <v>2013</v>
      </c>
    </row>
    <row r="27" spans="3:21" s="13" customFormat="1" ht="12.75">
      <c r="C27" s="13" t="s">
        <v>44</v>
      </c>
      <c r="D27" s="13" t="s">
        <v>45</v>
      </c>
      <c r="E27" s="13" t="s">
        <v>46</v>
      </c>
      <c r="F27" s="13" t="s">
        <v>47</v>
      </c>
      <c r="G27" s="22" t="s">
        <v>26</v>
      </c>
      <c r="H27" s="22" t="s">
        <v>27</v>
      </c>
      <c r="I27" s="22"/>
      <c r="J27" s="22" t="s">
        <v>73</v>
      </c>
      <c r="K27" s="22"/>
      <c r="L27" s="22" t="s">
        <v>72</v>
      </c>
      <c r="M27" s="22" t="s">
        <v>48</v>
      </c>
      <c r="N27" s="22" t="s">
        <v>51</v>
      </c>
      <c r="T27" s="20"/>
      <c r="U27" s="20"/>
    </row>
    <row r="28" spans="20:21" s="13" customFormat="1" ht="12.75">
      <c r="T28" s="20"/>
      <c r="U28" s="20"/>
    </row>
    <row r="29" spans="1:21" s="13" customFormat="1" ht="12.75">
      <c r="A29" s="13">
        <v>1993</v>
      </c>
      <c r="C29" s="14">
        <v>2164094.5580999996</v>
      </c>
      <c r="D29" s="15">
        <v>886.7661316098731</v>
      </c>
      <c r="E29" s="16">
        <v>3676171260.4204464</v>
      </c>
      <c r="F29" s="19">
        <v>1</v>
      </c>
      <c r="G29" s="15">
        <v>0.7</v>
      </c>
      <c r="H29" s="15">
        <f aca="true" t="shared" si="8" ref="H29:H38">1-G29</f>
        <v>0.30000000000000004</v>
      </c>
      <c r="J29" s="17"/>
      <c r="K29" s="17"/>
      <c r="L29" s="18"/>
      <c r="P29" s="20"/>
      <c r="Q29" s="20"/>
      <c r="R29" s="20"/>
      <c r="T29" s="20"/>
      <c r="U29" s="20"/>
    </row>
    <row r="30" spans="1:21" s="13" customFormat="1" ht="12.75">
      <c r="A30" s="13">
        <f aca="true" t="shared" si="9" ref="A30:A49">A29+1</f>
        <v>1994</v>
      </c>
      <c r="C30" s="14">
        <v>2279186.31</v>
      </c>
      <c r="D30" s="15">
        <v>883.2190670834336</v>
      </c>
      <c r="E30" s="16">
        <v>3819331627.888913</v>
      </c>
      <c r="F30" s="19">
        <v>1.0148890069781498</v>
      </c>
      <c r="G30" s="15">
        <f aca="true" t="shared" si="10" ref="G30:G38">G29</f>
        <v>0.7</v>
      </c>
      <c r="H30" s="15">
        <f t="shared" si="8"/>
        <v>0.30000000000000004</v>
      </c>
      <c r="J30" s="19"/>
      <c r="K30" s="19"/>
      <c r="L30" s="19"/>
      <c r="M30" s="19"/>
      <c r="N30" s="19"/>
      <c r="P30" s="20"/>
      <c r="Q30" s="20"/>
      <c r="R30" s="20"/>
      <c r="T30" s="20"/>
      <c r="U30" s="20"/>
    </row>
    <row r="31" spans="1:21" s="13" customFormat="1" ht="12.75">
      <c r="A31" s="13">
        <f t="shared" si="9"/>
        <v>1995</v>
      </c>
      <c r="C31" s="14">
        <v>2372657</v>
      </c>
      <c r="D31" s="15">
        <v>892.4170113007934</v>
      </c>
      <c r="E31" s="16">
        <v>4022354755.797245</v>
      </c>
      <c r="F31" s="19">
        <v>1.0225740820197315</v>
      </c>
      <c r="G31" s="15">
        <f t="shared" si="10"/>
        <v>0.7</v>
      </c>
      <c r="H31" s="15">
        <f t="shared" si="8"/>
        <v>0.30000000000000004</v>
      </c>
      <c r="J31" s="19"/>
      <c r="K31" s="19"/>
      <c r="L31" s="19"/>
      <c r="M31" s="19"/>
      <c r="N31" s="19"/>
      <c r="O31" s="19"/>
      <c r="P31" s="20"/>
      <c r="Q31" s="20"/>
      <c r="R31" s="20"/>
      <c r="T31" s="20"/>
      <c r="U31" s="20"/>
    </row>
    <row r="32" spans="1:21" s="13" customFormat="1" ht="12.75">
      <c r="A32" s="13">
        <f t="shared" si="9"/>
        <v>1996</v>
      </c>
      <c r="C32" s="14">
        <v>2460053.201082056</v>
      </c>
      <c r="D32" s="15">
        <v>883.7601226256311</v>
      </c>
      <c r="E32" s="16">
        <v>4265435055.1898003</v>
      </c>
      <c r="F32" s="19">
        <v>1.027114026869144</v>
      </c>
      <c r="G32" s="15">
        <f t="shared" si="10"/>
        <v>0.7</v>
      </c>
      <c r="H32" s="15">
        <f t="shared" si="8"/>
        <v>0.30000000000000004</v>
      </c>
      <c r="J32" s="19"/>
      <c r="K32" s="19"/>
      <c r="L32" s="19"/>
      <c r="M32" s="19"/>
      <c r="N32" s="19"/>
      <c r="O32" s="19"/>
      <c r="P32" s="20"/>
      <c r="Q32" s="20"/>
      <c r="R32" s="20"/>
      <c r="T32" s="20"/>
      <c r="U32" s="20"/>
    </row>
    <row r="33" spans="1:21" s="13" customFormat="1" ht="12.75">
      <c r="A33" s="13">
        <f t="shared" si="9"/>
        <v>1997</v>
      </c>
      <c r="C33" s="14">
        <v>2577569.717021164</v>
      </c>
      <c r="D33" s="15">
        <v>879.2152560711709</v>
      </c>
      <c r="E33" s="16">
        <v>4563783165.652029</v>
      </c>
      <c r="F33" s="19">
        <v>1.0449279443408852</v>
      </c>
      <c r="G33" s="15">
        <f t="shared" si="10"/>
        <v>0.7</v>
      </c>
      <c r="H33" s="15">
        <f t="shared" si="8"/>
        <v>0.30000000000000004</v>
      </c>
      <c r="J33" s="19"/>
      <c r="K33" s="19"/>
      <c r="L33" s="19"/>
      <c r="M33" s="19"/>
      <c r="N33" s="19"/>
      <c r="O33" s="19"/>
      <c r="P33" s="20"/>
      <c r="Q33" s="20"/>
      <c r="R33" s="20"/>
      <c r="T33" s="20"/>
      <c r="U33" s="20"/>
    </row>
    <row r="34" spans="1:21" s="13" customFormat="1" ht="12.75">
      <c r="A34" s="13">
        <f t="shared" si="9"/>
        <v>1998</v>
      </c>
      <c r="C34" s="14">
        <v>2668803.591600994</v>
      </c>
      <c r="D34" s="15">
        <v>879.3234671796105</v>
      </c>
      <c r="E34" s="16">
        <v>4901238581.613424</v>
      </c>
      <c r="F34" s="19">
        <v>1.0705588421125383</v>
      </c>
      <c r="G34" s="15">
        <f t="shared" si="10"/>
        <v>0.7</v>
      </c>
      <c r="H34" s="15">
        <f t="shared" si="8"/>
        <v>0.30000000000000004</v>
      </c>
      <c r="J34" s="19"/>
      <c r="K34" s="19"/>
      <c r="L34" s="19"/>
      <c r="M34" s="19"/>
      <c r="N34" s="19"/>
      <c r="O34" s="19"/>
      <c r="P34" s="20"/>
      <c r="Q34" s="20"/>
      <c r="R34" s="20"/>
      <c r="T34" s="20"/>
      <c r="U34" s="20"/>
    </row>
    <row r="35" spans="1:21" s="13" customFormat="1" ht="12.75">
      <c r="A35" s="13">
        <f t="shared" si="9"/>
        <v>1999</v>
      </c>
      <c r="C35" s="14">
        <v>2818198.9676663172</v>
      </c>
      <c r="D35" s="15">
        <v>890.1445780235634</v>
      </c>
      <c r="E35" s="16">
        <v>5356531196.819725</v>
      </c>
      <c r="F35" s="19">
        <v>1.0922249230438312</v>
      </c>
      <c r="G35" s="15">
        <f t="shared" si="10"/>
        <v>0.7</v>
      </c>
      <c r="H35" s="15">
        <f t="shared" si="8"/>
        <v>0.30000000000000004</v>
      </c>
      <c r="J35" s="19"/>
      <c r="K35" s="19"/>
      <c r="L35" s="19"/>
      <c r="M35" s="19"/>
      <c r="N35" s="19"/>
      <c r="O35" s="19"/>
      <c r="P35" s="20"/>
      <c r="Q35" s="20"/>
      <c r="R35" s="20"/>
      <c r="T35" s="20"/>
      <c r="U35" s="20"/>
    </row>
    <row r="36" spans="1:21" s="13" customFormat="1" ht="12.75">
      <c r="A36" s="13">
        <f t="shared" si="9"/>
        <v>2000</v>
      </c>
      <c r="C36" s="14">
        <v>2928821.050097774</v>
      </c>
      <c r="D36" s="15">
        <v>900.1</v>
      </c>
      <c r="E36" s="16">
        <v>5782749177.526379</v>
      </c>
      <c r="F36" s="19">
        <v>1.1105085077175016</v>
      </c>
      <c r="G36" s="15">
        <f t="shared" si="10"/>
        <v>0.7</v>
      </c>
      <c r="H36" s="15">
        <f t="shared" si="8"/>
        <v>0.30000000000000004</v>
      </c>
      <c r="J36" s="19"/>
      <c r="K36" s="19"/>
      <c r="L36" s="19"/>
      <c r="M36" s="19"/>
      <c r="N36" s="19"/>
      <c r="O36" s="19"/>
      <c r="P36" s="20"/>
      <c r="Q36" s="20"/>
      <c r="R36" s="20"/>
      <c r="T36" s="20"/>
      <c r="U36" s="20"/>
    </row>
    <row r="37" spans="1:21" s="13" customFormat="1" ht="12.75">
      <c r="A37" s="13">
        <f t="shared" si="9"/>
        <v>2001</v>
      </c>
      <c r="C37" s="14">
        <v>3006181.355828385</v>
      </c>
      <c r="D37" s="15">
        <v>904.3</v>
      </c>
      <c r="E37" s="16">
        <v>6211398277.6616955</v>
      </c>
      <c r="F37" s="19">
        <v>1.1270168498481106</v>
      </c>
      <c r="G37" s="15">
        <f t="shared" si="10"/>
        <v>0.7</v>
      </c>
      <c r="H37" s="15">
        <f t="shared" si="8"/>
        <v>0.30000000000000004</v>
      </c>
      <c r="J37" s="19"/>
      <c r="K37" s="19"/>
      <c r="L37" s="19"/>
      <c r="M37" s="19"/>
      <c r="N37" s="19"/>
      <c r="O37" s="19"/>
      <c r="P37" s="20"/>
      <c r="Q37" s="20"/>
      <c r="R37" s="20"/>
      <c r="T37" s="20"/>
      <c r="U37" s="20"/>
    </row>
    <row r="38" spans="1:21" s="13" customFormat="1" ht="12.75">
      <c r="A38" s="13">
        <f t="shared" si="9"/>
        <v>2002</v>
      </c>
      <c r="C38" s="14">
        <v>3106567.710168912</v>
      </c>
      <c r="D38" s="15">
        <v>899.5</v>
      </c>
      <c r="E38" s="16">
        <v>6634780780.866711</v>
      </c>
      <c r="F38" s="19">
        <v>1.1544584044513768</v>
      </c>
      <c r="G38" s="15">
        <f t="shared" si="10"/>
        <v>0.7</v>
      </c>
      <c r="H38" s="15">
        <f t="shared" si="8"/>
        <v>0.30000000000000004</v>
      </c>
      <c r="J38" s="19">
        <f>LN(C38/C37)-(H38+H37)/2*LN(E38/E37)-(G38+G37)/2*LN(D38/D37)-(G38+G37)/2*LN(F38/F37)</f>
        <v>-4.8528240126077815E-05</v>
      </c>
      <c r="K38" s="19">
        <f aca="true" t="shared" si="11" ref="K38:K49">(C38-C37)/C37</f>
        <v>0.033393312797279556</v>
      </c>
      <c r="L38" s="19">
        <f>(G38+G37)/2*LN(D38/D37)</f>
        <v>-0.003725477249092594</v>
      </c>
      <c r="M38" s="19">
        <f>(H38+H37)/2*LN(E38/E37)</f>
        <v>0.019781877403451522</v>
      </c>
      <c r="N38" s="19">
        <f>(G38+G37)/2*LN(F38/F37)</f>
        <v>0.016839993866761625</v>
      </c>
      <c r="O38" s="19"/>
      <c r="P38" s="20"/>
      <c r="Q38" s="20"/>
      <c r="R38" s="20"/>
      <c r="T38" s="20"/>
      <c r="U38" s="20"/>
    </row>
    <row r="39" spans="1:14" ht="12.75">
      <c r="A39" s="13">
        <f t="shared" si="9"/>
        <v>2003</v>
      </c>
      <c r="C39">
        <f>C38*(1+'base projection'!J6)</f>
        <v>3217887.2399988524</v>
      </c>
      <c r="D39">
        <f>D38*(1+'base projection'!D6)</f>
        <v>900.5794000000001</v>
      </c>
      <c r="E39">
        <f>E38*(1+'base projection'!J6)*(1+'base projection'!F6)</f>
        <v>6944542151.836578</v>
      </c>
      <c r="F39">
        <f>F38*(1+'base projection'!E6)</f>
        <v>1.1810109477537585</v>
      </c>
      <c r="G39" s="15">
        <f aca="true" t="shared" si="12" ref="G39:G49">G38</f>
        <v>0.7</v>
      </c>
      <c r="H39" s="15">
        <f aca="true" t="shared" si="13" ref="H39:H49">1-G39</f>
        <v>0.30000000000000004</v>
      </c>
      <c r="I39" s="13"/>
      <c r="J39" s="19">
        <f aca="true" t="shared" si="14" ref="J39:J49">LN(C39/C38)-(H39+H38)/2*LN(E39/E38)-(G39+G38)/2*LN(D39/D38)-(G39+G38)/2*LN(F39/F38)</f>
        <v>0.004760257181800065</v>
      </c>
      <c r="K39" s="19">
        <f t="shared" si="11"/>
        <v>0.035833608089581144</v>
      </c>
      <c r="L39" s="19">
        <f aca="true" t="shared" si="15" ref="L39:L49">(G39+G38)/2*LN(D39/D38)</f>
        <v>0.0008394964028375308</v>
      </c>
      <c r="M39" s="19">
        <f aca="true" t="shared" si="16" ref="M39:M49">(H39+H38)/2*LN(E39/E38)</f>
        <v>0.013689126522709883</v>
      </c>
      <c r="N39" s="19">
        <f aca="true" t="shared" si="17" ref="N39:N49">(G39+G38)/2*LN(F39/F38)</f>
        <v>0.015917640878642537</v>
      </c>
    </row>
    <row r="40" spans="1:14" ht="12.75">
      <c r="A40" s="13">
        <f t="shared" si="9"/>
        <v>2004</v>
      </c>
      <c r="C40">
        <f>C39*(1+'base projection'!J7)</f>
        <v>3333195.750233435</v>
      </c>
      <c r="D40">
        <f>D39*(1+'base projection'!D7)</f>
        <v>901.6600952800002</v>
      </c>
      <c r="E40">
        <f>E39*(1+'base projection'!J7)*(1+'base projection'!F7)</f>
        <v>7268765508.83345</v>
      </c>
      <c r="F40">
        <f>F39*(1+'base projection'!E7)</f>
        <v>1.2081741995520947</v>
      </c>
      <c r="G40" s="15">
        <f t="shared" si="12"/>
        <v>0.7</v>
      </c>
      <c r="H40" s="15">
        <f t="shared" si="13"/>
        <v>0.30000000000000004</v>
      </c>
      <c r="I40" s="13"/>
      <c r="J40" s="19">
        <f t="shared" si="14"/>
        <v>0.004760257181800065</v>
      </c>
      <c r="K40" s="19">
        <f t="shared" si="11"/>
        <v>0.03583360808958111</v>
      </c>
      <c r="L40" s="19">
        <f t="shared" si="15"/>
        <v>0.0008394964028375308</v>
      </c>
      <c r="M40" s="19">
        <f t="shared" si="16"/>
        <v>0.013689126522709883</v>
      </c>
      <c r="N40" s="19">
        <f t="shared" si="17"/>
        <v>0.015917640878642537</v>
      </c>
    </row>
    <row r="41" spans="1:14" ht="12.75">
      <c r="A41" s="13">
        <f t="shared" si="9"/>
        <v>2005</v>
      </c>
      <c r="C41">
        <f>C40*(1+'base projection'!J8)</f>
        <v>3452636.1804331574</v>
      </c>
      <c r="D41">
        <f>D40*(1+'base projection'!D8)</f>
        <v>902.7420873943363</v>
      </c>
      <c r="E41">
        <f>E40*(1+'base projection'!J8)*(1+'base projection'!F8)</f>
        <v>7608126045.924265</v>
      </c>
      <c r="F41">
        <f>F40*(1+'base projection'!E8)</f>
        <v>1.2359622061417928</v>
      </c>
      <c r="G41" s="15">
        <f t="shared" si="12"/>
        <v>0.7</v>
      </c>
      <c r="H41" s="15">
        <f t="shared" si="13"/>
        <v>0.30000000000000004</v>
      </c>
      <c r="I41" s="13"/>
      <c r="J41" s="19">
        <f t="shared" si="14"/>
        <v>0.0047602571818000025</v>
      </c>
      <c r="K41" s="19">
        <f t="shared" si="11"/>
        <v>0.03583360808958114</v>
      </c>
      <c r="L41" s="19">
        <f t="shared" si="15"/>
        <v>0.0008394964028375308</v>
      </c>
      <c r="M41" s="19">
        <f t="shared" si="16"/>
        <v>0.013689126522709948</v>
      </c>
      <c r="N41" s="19">
        <f t="shared" si="17"/>
        <v>0.015917640878642537</v>
      </c>
    </row>
    <row r="42" spans="1:14" ht="12.75">
      <c r="A42" s="13">
        <f t="shared" si="9"/>
        <v>2006</v>
      </c>
      <c r="C42">
        <f>C41*(1+'base projection'!J9)</f>
        <v>3576356.5921987076</v>
      </c>
      <c r="D42">
        <f>D41*(1+'base projection'!D9)</f>
        <v>903.8253778992096</v>
      </c>
      <c r="E42">
        <f>E41*(1+'base projection'!J9)*(1+'base projection'!F9)</f>
        <v>7963330480.303361</v>
      </c>
      <c r="F42">
        <f>F41*(1+'base projection'!E9)</f>
        <v>1.2643893368830539</v>
      </c>
      <c r="G42" s="15">
        <f t="shared" si="12"/>
        <v>0.7</v>
      </c>
      <c r="H42" s="15">
        <f t="shared" si="13"/>
        <v>0.30000000000000004</v>
      </c>
      <c r="I42" s="13"/>
      <c r="J42" s="19">
        <f t="shared" si="14"/>
        <v>0.004760257181800065</v>
      </c>
      <c r="K42" s="19">
        <f t="shared" si="11"/>
        <v>0.035833608089581186</v>
      </c>
      <c r="L42" s="19">
        <f t="shared" si="15"/>
        <v>0.0008394964028375308</v>
      </c>
      <c r="M42" s="19">
        <f t="shared" si="16"/>
        <v>0.013689126522709883</v>
      </c>
      <c r="N42" s="19">
        <f t="shared" si="17"/>
        <v>0.015917640878642537</v>
      </c>
    </row>
    <row r="43" spans="1:14" ht="12.75">
      <c r="A43" s="13">
        <f t="shared" si="9"/>
        <v>2007</v>
      </c>
      <c r="C43">
        <f>C42*(1+'base projection'!J10)</f>
        <v>3704510.352712146</v>
      </c>
      <c r="D43">
        <f>D42*(1+'base projection'!D10)</f>
        <v>904.9099683526887</v>
      </c>
      <c r="E43">
        <f>E42*(1+'base projection'!J10)*(1+'base projection'!F10)</f>
        <v>8335118524.028699</v>
      </c>
      <c r="F43">
        <f>F42*(1+'base projection'!E10)</f>
        <v>1.293470291631364</v>
      </c>
      <c r="G43" s="15">
        <f t="shared" si="12"/>
        <v>0.7</v>
      </c>
      <c r="H43" s="15">
        <f t="shared" si="13"/>
        <v>0.30000000000000004</v>
      </c>
      <c r="I43" s="13"/>
      <c r="J43" s="19">
        <f t="shared" si="14"/>
        <v>0.004760257181800065</v>
      </c>
      <c r="K43" s="19">
        <f t="shared" si="11"/>
        <v>0.03583360808958112</v>
      </c>
      <c r="L43" s="19">
        <f t="shared" si="15"/>
        <v>0.0008394964028375308</v>
      </c>
      <c r="M43" s="19">
        <f t="shared" si="16"/>
        <v>0.013689126522709883</v>
      </c>
      <c r="N43" s="19">
        <f t="shared" si="17"/>
        <v>0.015917640878642537</v>
      </c>
    </row>
    <row r="44" spans="1:14" ht="12.75">
      <c r="A44" s="13">
        <f t="shared" si="9"/>
        <v>2008</v>
      </c>
      <c r="C44">
        <f>C43*(1+'base projection'!J11)</f>
        <v>3837256.324855029</v>
      </c>
      <c r="D44">
        <f>D43*(1+'base projection'!D11)</f>
        <v>905.995860314712</v>
      </c>
      <c r="E44">
        <f>E43*(1+'base projection'!J11)*(1+'base projection'!F11)</f>
        <v>8724264424.469767</v>
      </c>
      <c r="F44">
        <f>F43*(1+'base projection'!E11)</f>
        <v>1.3232201083388853</v>
      </c>
      <c r="G44" s="15">
        <f t="shared" si="12"/>
        <v>0.7</v>
      </c>
      <c r="H44" s="15">
        <f t="shared" si="13"/>
        <v>0.30000000000000004</v>
      </c>
      <c r="I44" s="13"/>
      <c r="J44" s="19">
        <f t="shared" si="14"/>
        <v>0.004760257181800065</v>
      </c>
      <c r="K44" s="19">
        <f t="shared" si="11"/>
        <v>0.03583360808958116</v>
      </c>
      <c r="L44" s="19">
        <f t="shared" si="15"/>
        <v>0.0008394964028375308</v>
      </c>
      <c r="M44" s="19">
        <f t="shared" si="16"/>
        <v>0.013689126522709883</v>
      </c>
      <c r="N44" s="19">
        <f t="shared" si="17"/>
        <v>0.015917640878642537</v>
      </c>
    </row>
    <row r="45" spans="1:14" ht="12.75">
      <c r="A45" s="13">
        <f t="shared" si="9"/>
        <v>2009</v>
      </c>
      <c r="C45">
        <f>C44*(1+'base projection'!J12)</f>
        <v>3974759.0641391505</v>
      </c>
      <c r="D45">
        <f>D44*(1+'base projection'!D12)</f>
        <v>907.0830553470897</v>
      </c>
      <c r="E45">
        <f>E44*(1+'base projection'!J12)*(1+'base projection'!F12)</f>
        <v>9131578576.675165</v>
      </c>
      <c r="F45">
        <f>F44*(1+'base projection'!E12)</f>
        <v>1.3536541708306795</v>
      </c>
      <c r="G45" s="15">
        <f t="shared" si="12"/>
        <v>0.7</v>
      </c>
      <c r="H45" s="15">
        <f t="shared" si="13"/>
        <v>0.30000000000000004</v>
      </c>
      <c r="I45" s="13"/>
      <c r="J45" s="19">
        <f t="shared" si="14"/>
        <v>0.004760257181800065</v>
      </c>
      <c r="K45" s="19">
        <f t="shared" si="11"/>
        <v>0.0358336080895811</v>
      </c>
      <c r="L45" s="19">
        <f t="shared" si="15"/>
        <v>0.0008394964028375308</v>
      </c>
      <c r="M45" s="19">
        <f t="shared" si="16"/>
        <v>0.013689126522709883</v>
      </c>
      <c r="N45" s="19">
        <f t="shared" si="17"/>
        <v>0.015917640878642537</v>
      </c>
    </row>
    <row r="46" spans="1:14" ht="12.75">
      <c r="A46" s="13">
        <f t="shared" si="9"/>
        <v>2010</v>
      </c>
      <c r="C46">
        <f>C45*(1+'base projection'!J13)</f>
        <v>4117189.0226940233</v>
      </c>
      <c r="D46">
        <f>D45*(1+'base projection'!D13)</f>
        <v>908.1715550135063</v>
      </c>
      <c r="E46">
        <f>E45*(1+'base projection'!J13)*(1+'base projection'!F13)</f>
        <v>9557909211.01761</v>
      </c>
      <c r="F46">
        <f>F45*(1+'base projection'!E13)</f>
        <v>1.384788216759785</v>
      </c>
      <c r="G46" s="15">
        <f t="shared" si="12"/>
        <v>0.7</v>
      </c>
      <c r="H46" s="15">
        <f t="shared" si="13"/>
        <v>0.30000000000000004</v>
      </c>
      <c r="I46" s="13"/>
      <c r="J46" s="19">
        <f t="shared" si="14"/>
        <v>0.004760257181800065</v>
      </c>
      <c r="K46" s="19">
        <f t="shared" si="11"/>
        <v>0.03583360808958118</v>
      </c>
      <c r="L46" s="19">
        <f t="shared" si="15"/>
        <v>0.0008394964028375308</v>
      </c>
      <c r="M46" s="19">
        <f t="shared" si="16"/>
        <v>0.013689126522709883</v>
      </c>
      <c r="N46" s="19">
        <f t="shared" si="17"/>
        <v>0.015917640878642537</v>
      </c>
    </row>
    <row r="47" spans="1:14" ht="12.75">
      <c r="A47" s="13">
        <f t="shared" si="9"/>
        <v>2011</v>
      </c>
      <c r="C47">
        <f>C46*(1+'base projection'!J14)</f>
        <v>4264722.760563967</v>
      </c>
      <c r="D47">
        <f>D46*(1+'base projection'!D14)</f>
        <v>909.2613608795226</v>
      </c>
      <c r="E47">
        <f>E46*(1+'base projection'!J14)*(1+'base projection'!F14)</f>
        <v>10004144159.630877</v>
      </c>
      <c r="F47">
        <f>F46*(1+'base projection'!E14)</f>
        <v>1.4166383457452598</v>
      </c>
      <c r="G47" s="15">
        <f t="shared" si="12"/>
        <v>0.7</v>
      </c>
      <c r="H47" s="15">
        <f t="shared" si="13"/>
        <v>0.30000000000000004</v>
      </c>
      <c r="I47" s="13"/>
      <c r="J47" s="19">
        <f t="shared" si="14"/>
        <v>0.004760257181800065</v>
      </c>
      <c r="K47" s="19">
        <f t="shared" si="11"/>
        <v>0.035833608089581206</v>
      </c>
      <c r="L47" s="19">
        <f t="shared" si="15"/>
        <v>0.0008394964028375308</v>
      </c>
      <c r="M47" s="19">
        <f t="shared" si="16"/>
        <v>0.013689126522709883</v>
      </c>
      <c r="N47" s="19">
        <f t="shared" si="17"/>
        <v>0.015917640878642537</v>
      </c>
    </row>
    <row r="48" spans="1:14" ht="12.75">
      <c r="A48" s="13">
        <f t="shared" si="9"/>
        <v>2012</v>
      </c>
      <c r="C48">
        <f>C47*(1+'base projection'!J15)</f>
        <v>4417543.164576733</v>
      </c>
      <c r="D48">
        <f>D47*(1+'base projection'!D15)</f>
        <v>910.3524745125782</v>
      </c>
      <c r="E48">
        <f>E47*(1+'base projection'!J15)*(1+'base projection'!F15)</f>
        <v>10471212705.31727</v>
      </c>
      <c r="F48">
        <f>F47*(1+'base projection'!E15)</f>
        <v>1.4492210276974007</v>
      </c>
      <c r="G48" s="15">
        <f t="shared" si="12"/>
        <v>0.7</v>
      </c>
      <c r="H48" s="15">
        <f t="shared" si="13"/>
        <v>0.30000000000000004</v>
      </c>
      <c r="I48" s="13"/>
      <c r="J48" s="19">
        <f t="shared" si="14"/>
        <v>0.004760257181800065</v>
      </c>
      <c r="K48" s="19">
        <f t="shared" si="11"/>
        <v>0.03583360808958113</v>
      </c>
      <c r="L48" s="19">
        <f t="shared" si="15"/>
        <v>0.0008394964028375308</v>
      </c>
      <c r="M48" s="19">
        <f t="shared" si="16"/>
        <v>0.013689126522709883</v>
      </c>
      <c r="N48" s="19">
        <f t="shared" si="17"/>
        <v>0.015917640878642537</v>
      </c>
    </row>
    <row r="49" spans="1:14" ht="12.75">
      <c r="A49" s="13">
        <f t="shared" si="9"/>
        <v>2013</v>
      </c>
      <c r="C49">
        <f>C48*(1+'base projection'!J16)</f>
        <v>4575839.675054983</v>
      </c>
      <c r="D49">
        <f>D48*(1+'base projection'!D16)</f>
        <v>911.4448974819934</v>
      </c>
      <c r="E49">
        <f>E48*(1+'base projection'!J16)*(1+'base projection'!F16)</f>
        <v>10960087516.775993</v>
      </c>
      <c r="F49">
        <f>F48*(1+'base projection'!E16)</f>
        <v>1.4825531113344408</v>
      </c>
      <c r="G49" s="15">
        <f t="shared" si="12"/>
        <v>0.7</v>
      </c>
      <c r="H49" s="15">
        <f t="shared" si="13"/>
        <v>0.30000000000000004</v>
      </c>
      <c r="I49" s="13"/>
      <c r="J49" s="19">
        <f t="shared" si="14"/>
        <v>0.004760257181800065</v>
      </c>
      <c r="K49" s="19">
        <f t="shared" si="11"/>
        <v>0.035833608089581144</v>
      </c>
      <c r="L49" s="19">
        <f t="shared" si="15"/>
        <v>0.0008394964028375308</v>
      </c>
      <c r="M49" s="19">
        <f t="shared" si="16"/>
        <v>0.013689126522709883</v>
      </c>
      <c r="N49" s="19">
        <f t="shared" si="17"/>
        <v>0.015917640878642537</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L23" sqref="L23"/>
    </sheetView>
  </sheetViews>
  <sheetFormatPr defaultColWidth="9.140625" defaultRowHeight="12.75"/>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AB47"/>
  <sheetViews>
    <sheetView workbookViewId="0" topLeftCell="A1">
      <selection activeCell="E16" sqref="E16"/>
    </sheetView>
  </sheetViews>
  <sheetFormatPr defaultColWidth="9.140625" defaultRowHeight="12.75"/>
  <cols>
    <col min="3" max="3" width="16.57421875" style="0" customWidth="1"/>
    <col min="4" max="5" width="9.140625" style="1" customWidth="1"/>
    <col min="10" max="10" width="15.00390625" style="0" customWidth="1"/>
    <col min="20" max="20" width="12.421875" style="0" bestFit="1" customWidth="1"/>
  </cols>
  <sheetData>
    <row r="1" ht="12.75">
      <c r="A1" t="s">
        <v>395</v>
      </c>
    </row>
    <row r="3" spans="3:28" ht="12.75">
      <c r="C3" t="s">
        <v>79</v>
      </c>
      <c r="D3" s="1" t="s">
        <v>80</v>
      </c>
      <c r="AB3" t="s">
        <v>81</v>
      </c>
    </row>
    <row r="5" spans="1:28" ht="12.75">
      <c r="A5">
        <v>1992</v>
      </c>
      <c r="C5" s="10">
        <v>100</v>
      </c>
      <c r="F5" s="9"/>
      <c r="G5" s="9"/>
      <c r="H5" s="9"/>
      <c r="J5" s="9"/>
      <c r="K5" s="9"/>
      <c r="O5" s="27"/>
      <c r="P5" s="9"/>
      <c r="T5" s="27"/>
      <c r="V5" s="27"/>
      <c r="W5" s="27"/>
      <c r="X5" s="27"/>
      <c r="AB5" t="e">
        <f aca="true" t="shared" si="0" ref="AB5:AB14">LN(Y5)</f>
        <v>#NUM!</v>
      </c>
    </row>
    <row r="6" spans="1:28" ht="12.75">
      <c r="A6">
        <f aca="true" t="shared" si="1" ref="A6:A26">A5+1</f>
        <v>1993</v>
      </c>
      <c r="C6" s="10">
        <v>113.3</v>
      </c>
      <c r="F6" s="9"/>
      <c r="G6" s="9"/>
      <c r="H6" s="1"/>
      <c r="J6" s="9"/>
      <c r="K6" s="1"/>
      <c r="O6" s="27"/>
      <c r="P6" s="9"/>
      <c r="T6" s="27"/>
      <c r="V6" s="27"/>
      <c r="W6" s="27"/>
      <c r="X6" s="27"/>
      <c r="AB6" t="e">
        <f t="shared" si="0"/>
        <v>#NUM!</v>
      </c>
    </row>
    <row r="7" spans="1:28" ht="12.75">
      <c r="A7">
        <f t="shared" si="1"/>
        <v>1994</v>
      </c>
      <c r="C7" s="10">
        <v>117.3</v>
      </c>
      <c r="D7" s="1">
        <f aca="true" t="shared" si="2" ref="D7:D15">(C7-C6)/C6</f>
        <v>0.035304501323918804</v>
      </c>
      <c r="F7" s="9"/>
      <c r="G7" s="9"/>
      <c r="H7" s="1"/>
      <c r="I7" s="11"/>
      <c r="J7" s="9"/>
      <c r="K7" s="1"/>
      <c r="O7" s="27"/>
      <c r="P7" s="9"/>
      <c r="T7" s="27"/>
      <c r="V7" s="27"/>
      <c r="W7" s="27"/>
      <c r="X7" s="27"/>
      <c r="AB7" t="e">
        <f t="shared" si="0"/>
        <v>#NUM!</v>
      </c>
    </row>
    <row r="8" spans="1:28" ht="12.75">
      <c r="A8">
        <f t="shared" si="1"/>
        <v>1995</v>
      </c>
      <c r="C8" s="10">
        <v>122.4</v>
      </c>
      <c r="D8" s="1">
        <f t="shared" si="2"/>
        <v>0.04347826086956529</v>
      </c>
      <c r="F8" s="9"/>
      <c r="G8" s="9"/>
      <c r="H8" s="1"/>
      <c r="I8" s="11"/>
      <c r="J8" s="9"/>
      <c r="K8" s="1"/>
      <c r="O8" s="27"/>
      <c r="P8" s="9"/>
      <c r="T8" s="27"/>
      <c r="V8" s="27"/>
      <c r="W8" s="27"/>
      <c r="X8" s="27"/>
      <c r="AB8" t="e">
        <f t="shared" si="0"/>
        <v>#NUM!</v>
      </c>
    </row>
    <row r="9" spans="1:28" ht="12.75">
      <c r="A9">
        <f t="shared" si="1"/>
        <v>1996</v>
      </c>
      <c r="C9" s="10">
        <v>128.5</v>
      </c>
      <c r="D9" s="1">
        <f t="shared" si="2"/>
        <v>0.04983660130718949</v>
      </c>
      <c r="F9" s="9"/>
      <c r="G9" s="9"/>
      <c r="H9" s="1"/>
      <c r="I9" s="11"/>
      <c r="J9" s="9"/>
      <c r="K9" s="1"/>
      <c r="O9" s="27"/>
      <c r="P9" s="9"/>
      <c r="T9" s="27"/>
      <c r="V9" s="27"/>
      <c r="W9" s="27"/>
      <c r="X9" s="27"/>
      <c r="AB9" t="e">
        <f t="shared" si="0"/>
        <v>#NUM!</v>
      </c>
    </row>
    <row r="10" spans="1:28" ht="12.75">
      <c r="A10">
        <f t="shared" si="1"/>
        <v>1997</v>
      </c>
      <c r="C10" s="10">
        <v>132.5</v>
      </c>
      <c r="D10" s="1">
        <f t="shared" si="2"/>
        <v>0.0311284046692607</v>
      </c>
      <c r="F10" s="9"/>
      <c r="G10" s="9"/>
      <c r="H10" s="1"/>
      <c r="I10" s="11"/>
      <c r="J10" s="9"/>
      <c r="K10" s="1"/>
      <c r="O10" s="27"/>
      <c r="P10" s="9"/>
      <c r="T10" s="27"/>
      <c r="V10" s="27"/>
      <c r="W10" s="27"/>
      <c r="X10" s="27"/>
      <c r="AB10" t="e">
        <f t="shared" si="0"/>
        <v>#NUM!</v>
      </c>
    </row>
    <row r="11" spans="1:28" ht="12.75">
      <c r="A11">
        <f t="shared" si="1"/>
        <v>1998</v>
      </c>
      <c r="C11" s="10">
        <v>134.5</v>
      </c>
      <c r="D11" s="1">
        <f t="shared" si="2"/>
        <v>0.01509433962264151</v>
      </c>
      <c r="F11" s="9"/>
      <c r="G11" s="9"/>
      <c r="H11" s="1"/>
      <c r="I11" s="11"/>
      <c r="J11" s="9"/>
      <c r="K11" s="1"/>
      <c r="O11" s="27"/>
      <c r="P11" s="9"/>
      <c r="T11" s="27"/>
      <c r="V11" s="27"/>
      <c r="W11" s="27"/>
      <c r="X11" s="27"/>
      <c r="AB11" t="e">
        <f t="shared" si="0"/>
        <v>#NUM!</v>
      </c>
    </row>
    <row r="12" spans="1:28" ht="12.75">
      <c r="A12">
        <f t="shared" si="1"/>
        <v>1999</v>
      </c>
      <c r="C12" s="10">
        <v>138.8</v>
      </c>
      <c r="D12" s="1">
        <f t="shared" si="2"/>
        <v>0.03197026022304841</v>
      </c>
      <c r="F12" s="9"/>
      <c r="G12" s="9"/>
      <c r="H12" s="1"/>
      <c r="I12" s="11"/>
      <c r="J12" s="9"/>
      <c r="K12" s="1"/>
      <c r="O12" s="27"/>
      <c r="P12" s="9"/>
      <c r="T12" s="27"/>
      <c r="V12" s="27"/>
      <c r="W12" s="27"/>
      <c r="X12" s="27"/>
      <c r="AB12" t="e">
        <f t="shared" si="0"/>
        <v>#NUM!</v>
      </c>
    </row>
    <row r="13" spans="1:28" ht="12.75">
      <c r="A13">
        <f t="shared" si="1"/>
        <v>2000</v>
      </c>
      <c r="C13" s="10">
        <v>141</v>
      </c>
      <c r="D13" s="1">
        <f t="shared" si="2"/>
        <v>0.015850144092218937</v>
      </c>
      <c r="F13" s="9"/>
      <c r="G13" s="9"/>
      <c r="H13" s="1"/>
      <c r="I13" s="11"/>
      <c r="J13" s="9"/>
      <c r="K13" s="1"/>
      <c r="O13" s="27"/>
      <c r="P13" s="9"/>
      <c r="T13" s="27"/>
      <c r="V13" s="27"/>
      <c r="W13" s="27"/>
      <c r="X13" s="27"/>
      <c r="AB13" t="e">
        <f t="shared" si="0"/>
        <v>#NUM!</v>
      </c>
    </row>
    <row r="14" spans="1:28" ht="12.75">
      <c r="A14">
        <f t="shared" si="1"/>
        <v>2001</v>
      </c>
      <c r="C14" s="10">
        <v>145.6</v>
      </c>
      <c r="D14" s="1">
        <f t="shared" si="2"/>
        <v>0.03262411347517726</v>
      </c>
      <c r="F14" s="9"/>
      <c r="G14" s="9"/>
      <c r="H14" s="1"/>
      <c r="I14" s="11"/>
      <c r="J14" s="9"/>
      <c r="K14" s="1"/>
      <c r="O14" s="27"/>
      <c r="P14" s="9"/>
      <c r="T14" s="27"/>
      <c r="V14" s="27"/>
      <c r="W14" s="27"/>
      <c r="X14" s="27"/>
      <c r="AB14" t="e">
        <f t="shared" si="0"/>
        <v>#NUM!</v>
      </c>
    </row>
    <row r="15" spans="1:24" ht="12.75">
      <c r="A15">
        <f t="shared" si="1"/>
        <v>2002</v>
      </c>
      <c r="C15" s="10">
        <v>148.6</v>
      </c>
      <c r="D15" s="1">
        <f t="shared" si="2"/>
        <v>0.020604395604395604</v>
      </c>
      <c r="E15" s="1">
        <f>D15</f>
        <v>0.020604395604395604</v>
      </c>
      <c r="F15" s="9"/>
      <c r="G15" s="9"/>
      <c r="H15" s="1"/>
      <c r="I15" s="11"/>
      <c r="J15" s="9"/>
      <c r="K15" s="1"/>
      <c r="O15" s="27"/>
      <c r="P15" s="9"/>
      <c r="T15" s="27"/>
      <c r="V15" s="1"/>
      <c r="W15" s="1"/>
      <c r="X15" s="1"/>
    </row>
    <row r="16" spans="1:9" ht="12.75">
      <c r="A16">
        <f t="shared" si="1"/>
        <v>2003</v>
      </c>
      <c r="E16" s="1">
        <f>'base projection'!M6</f>
        <v>0.0346336080895812</v>
      </c>
      <c r="F16" s="9"/>
      <c r="G16" s="9"/>
      <c r="I16" s="11"/>
    </row>
    <row r="17" spans="1:7" ht="12.75">
      <c r="A17">
        <f t="shared" si="1"/>
        <v>2004</v>
      </c>
      <c r="E17" s="1">
        <f>'base projection'!M7</f>
        <v>0.0346336080895812</v>
      </c>
      <c r="F17" s="9"/>
      <c r="G17" s="9"/>
    </row>
    <row r="18" spans="1:28" ht="12.75">
      <c r="A18">
        <f t="shared" si="1"/>
        <v>2005</v>
      </c>
      <c r="E18" s="1">
        <f>'base projection'!M8</f>
        <v>0.0346336080895812</v>
      </c>
      <c r="F18" s="9"/>
      <c r="G18" s="9"/>
      <c r="AB18" s="9"/>
    </row>
    <row r="19" spans="1:7" ht="12.75">
      <c r="A19">
        <f t="shared" si="1"/>
        <v>2006</v>
      </c>
      <c r="E19" s="1">
        <f>'base projection'!M9</f>
        <v>0.0346336080895812</v>
      </c>
      <c r="F19" s="9"/>
      <c r="G19" s="9"/>
    </row>
    <row r="20" spans="1:7" ht="12.75">
      <c r="A20">
        <f t="shared" si="1"/>
        <v>2007</v>
      </c>
      <c r="E20" s="1">
        <f>'base projection'!M10</f>
        <v>0.0346336080895812</v>
      </c>
      <c r="F20" s="9"/>
      <c r="G20" s="9"/>
    </row>
    <row r="21" spans="1:16" ht="12.75">
      <c r="A21">
        <f t="shared" si="1"/>
        <v>2008</v>
      </c>
      <c r="E21" s="1">
        <f>'base projection'!M11</f>
        <v>0.0346336080895812</v>
      </c>
      <c r="F21" s="9"/>
      <c r="G21" s="9"/>
      <c r="H21" s="9"/>
      <c r="J21" s="9"/>
      <c r="K21" s="9"/>
      <c r="O21" s="27"/>
      <c r="P21" s="9"/>
    </row>
    <row r="22" spans="1:16" ht="12.75">
      <c r="A22">
        <f t="shared" si="1"/>
        <v>2009</v>
      </c>
      <c r="E22" s="1">
        <f>'base projection'!M12</f>
        <v>0.0346336080895812</v>
      </c>
      <c r="F22" s="9"/>
      <c r="G22" s="9"/>
      <c r="H22" s="9"/>
      <c r="J22" s="9"/>
      <c r="K22" s="1"/>
      <c r="O22" s="27"/>
      <c r="P22" s="9"/>
    </row>
    <row r="23" spans="1:16" ht="12.75">
      <c r="A23">
        <f t="shared" si="1"/>
        <v>2010</v>
      </c>
      <c r="E23" s="1">
        <f>'base projection'!M13</f>
        <v>0.0346336080895812</v>
      </c>
      <c r="F23" s="9"/>
      <c r="G23" s="9"/>
      <c r="H23" s="9"/>
      <c r="I23" s="11"/>
      <c r="J23" s="9"/>
      <c r="K23" s="1"/>
      <c r="O23" s="27"/>
      <c r="P23" s="9"/>
    </row>
    <row r="24" spans="1:16" ht="12.75">
      <c r="A24">
        <f t="shared" si="1"/>
        <v>2011</v>
      </c>
      <c r="E24" s="1">
        <f>'base projection'!M14</f>
        <v>0.0346336080895812</v>
      </c>
      <c r="F24" s="9"/>
      <c r="G24" s="9"/>
      <c r="H24" s="9"/>
      <c r="I24" s="11"/>
      <c r="J24" s="9"/>
      <c r="K24" s="1"/>
      <c r="O24" s="27"/>
      <c r="P24" s="9"/>
    </row>
    <row r="25" spans="1:16" ht="12.75">
      <c r="A25">
        <f t="shared" si="1"/>
        <v>2012</v>
      </c>
      <c r="E25" s="1">
        <f>'base projection'!M15</f>
        <v>0.0346336080895812</v>
      </c>
      <c r="F25" s="9"/>
      <c r="G25" s="9"/>
      <c r="H25" s="9"/>
      <c r="I25" s="11"/>
      <c r="J25" s="9"/>
      <c r="K25" s="1"/>
      <c r="O25" s="27"/>
      <c r="P25" s="9"/>
    </row>
    <row r="26" spans="1:16" ht="12.75">
      <c r="A26">
        <f t="shared" si="1"/>
        <v>2013</v>
      </c>
      <c r="E26" s="1">
        <f>'base projection'!M16</f>
        <v>0.0346336080895812</v>
      </c>
      <c r="F26" s="9"/>
      <c r="G26" s="9"/>
      <c r="H26" s="9"/>
      <c r="I26" s="11"/>
      <c r="J26" s="9"/>
      <c r="K26" s="1"/>
      <c r="O26" s="27"/>
      <c r="P26" s="9"/>
    </row>
    <row r="27" spans="6:16" ht="12.75">
      <c r="F27" s="9"/>
      <c r="G27" s="9"/>
      <c r="H27" s="9"/>
      <c r="I27" s="11"/>
      <c r="J27" s="9"/>
      <c r="K27" s="1"/>
      <c r="O27" s="27"/>
      <c r="P27" s="9"/>
    </row>
    <row r="28" spans="1:16" ht="12.75">
      <c r="A28" t="s">
        <v>396</v>
      </c>
      <c r="C28" s="1">
        <f>EXP(1/9*LN(C15/C6))-1</f>
        <v>0.03059410865398271</v>
      </c>
      <c r="F28" s="9"/>
      <c r="G28" s="9"/>
      <c r="H28" s="9"/>
      <c r="I28" s="11"/>
      <c r="J28" s="9"/>
      <c r="K28" s="1"/>
      <c r="O28" s="27"/>
      <c r="P28" s="9"/>
    </row>
    <row r="29" spans="6:16" ht="12.75">
      <c r="F29" s="9"/>
      <c r="G29" s="9"/>
      <c r="H29" s="9"/>
      <c r="I29" s="11"/>
      <c r="J29" s="9"/>
      <c r="K29" s="1"/>
      <c r="O29" s="27"/>
      <c r="P29" s="9"/>
    </row>
    <row r="30" spans="6:16" ht="12.75">
      <c r="F30" s="9"/>
      <c r="G30" s="9"/>
      <c r="H30" s="9"/>
      <c r="I30" s="11"/>
      <c r="J30" s="9"/>
      <c r="K30" s="1"/>
      <c r="O30" s="27"/>
      <c r="P30" s="9"/>
    </row>
    <row r="31" spans="6:16" ht="12.75">
      <c r="F31" s="9"/>
      <c r="G31" s="9"/>
      <c r="H31" s="9"/>
      <c r="I31" s="11"/>
      <c r="J31" s="9"/>
      <c r="K31" s="1"/>
      <c r="O31" s="27"/>
      <c r="P31" s="9"/>
    </row>
    <row r="37" spans="6:16" ht="12.75">
      <c r="F37" s="9"/>
      <c r="G37" s="9"/>
      <c r="H37" s="9"/>
      <c r="J37" s="9"/>
      <c r="K37" s="9"/>
      <c r="O37" s="27"/>
      <c r="P37" s="9"/>
    </row>
    <row r="38" spans="6:16" ht="12.75">
      <c r="F38" s="9"/>
      <c r="G38" s="9"/>
      <c r="H38" s="9"/>
      <c r="J38" s="9"/>
      <c r="K38" s="1"/>
      <c r="O38" s="27"/>
      <c r="P38" s="9"/>
    </row>
    <row r="39" spans="6:16" ht="12.75">
      <c r="F39" s="9"/>
      <c r="G39" s="9"/>
      <c r="H39" s="9"/>
      <c r="I39" s="11"/>
      <c r="J39" s="9"/>
      <c r="K39" s="1"/>
      <c r="O39" s="27"/>
      <c r="P39" s="9"/>
    </row>
    <row r="40" spans="6:16" ht="12.75">
      <c r="F40" s="9"/>
      <c r="G40" s="9"/>
      <c r="H40" s="9"/>
      <c r="I40" s="11"/>
      <c r="J40" s="9"/>
      <c r="K40" s="1"/>
      <c r="O40" s="27"/>
      <c r="P40" s="9"/>
    </row>
    <row r="41" spans="6:16" ht="12.75">
      <c r="F41" s="9"/>
      <c r="G41" s="9"/>
      <c r="H41" s="9"/>
      <c r="I41" s="11"/>
      <c r="J41" s="9"/>
      <c r="K41" s="1"/>
      <c r="O41" s="27"/>
      <c r="P41" s="9"/>
    </row>
    <row r="42" spans="6:16" ht="12.75">
      <c r="F42" s="9"/>
      <c r="G42" s="9"/>
      <c r="H42" s="9"/>
      <c r="I42" s="11"/>
      <c r="J42" s="9"/>
      <c r="K42" s="1"/>
      <c r="O42" s="27"/>
      <c r="P42" s="9"/>
    </row>
    <row r="43" spans="6:16" ht="12.75">
      <c r="F43" s="9"/>
      <c r="G43" s="9"/>
      <c r="H43" s="9"/>
      <c r="I43" s="11"/>
      <c r="J43" s="9"/>
      <c r="K43" s="1"/>
      <c r="O43" s="27"/>
      <c r="P43" s="9"/>
    </row>
    <row r="44" spans="6:16" ht="12.75">
      <c r="F44" s="9"/>
      <c r="G44" s="9"/>
      <c r="H44" s="9"/>
      <c r="I44" s="11"/>
      <c r="J44" s="9"/>
      <c r="K44" s="1"/>
      <c r="O44" s="27"/>
      <c r="P44" s="9"/>
    </row>
    <row r="45" spans="6:16" ht="12.75">
      <c r="F45" s="9"/>
      <c r="G45" s="9"/>
      <c r="H45" s="9"/>
      <c r="I45" s="11"/>
      <c r="J45" s="9"/>
      <c r="K45" s="1"/>
      <c r="O45" s="27"/>
      <c r="P45" s="9"/>
    </row>
    <row r="46" spans="6:16" ht="12.75">
      <c r="F46" s="9"/>
      <c r="G46" s="9"/>
      <c r="H46" s="9"/>
      <c r="I46" s="11"/>
      <c r="J46" s="9"/>
      <c r="K46" s="1"/>
      <c r="O46" s="27"/>
      <c r="P46" s="9"/>
    </row>
    <row r="47" spans="6:16" ht="12.75">
      <c r="F47" s="9"/>
      <c r="G47" s="9"/>
      <c r="H47" s="9"/>
      <c r="I47" s="11"/>
      <c r="J47" s="9"/>
      <c r="K47" s="1"/>
      <c r="O47" s="27"/>
      <c r="P47" s="9"/>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A1"/>
  <sheetViews>
    <sheetView workbookViewId="0" topLeftCell="A1">
      <selection activeCell="H8" sqref="H8"/>
    </sheetView>
  </sheetViews>
  <sheetFormatPr defaultColWidth="9.140625" defaultRowHeight="12.75"/>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dimension ref="A1:AG47"/>
  <sheetViews>
    <sheetView workbookViewId="0" topLeftCell="A1">
      <selection activeCell="J16" sqref="J16"/>
    </sheetView>
  </sheetViews>
  <sheetFormatPr defaultColWidth="9.140625" defaultRowHeight="12.75"/>
  <cols>
    <col min="3" max="3" width="13.140625" style="0" customWidth="1"/>
    <col min="4" max="4" width="12.8515625" style="0" customWidth="1"/>
    <col min="15" max="15" width="15.00390625" style="0" customWidth="1"/>
    <col min="25" max="25" width="12.421875" style="0" bestFit="1" customWidth="1"/>
  </cols>
  <sheetData>
    <row r="1" ht="12.75">
      <c r="A1" t="s">
        <v>82</v>
      </c>
    </row>
    <row r="3" spans="3:33" ht="12.75">
      <c r="C3" t="s">
        <v>84</v>
      </c>
      <c r="D3" t="s">
        <v>83</v>
      </c>
      <c r="E3" t="s">
        <v>85</v>
      </c>
      <c r="F3" t="s">
        <v>10</v>
      </c>
      <c r="G3" t="s">
        <v>87</v>
      </c>
      <c r="H3" t="s">
        <v>88</v>
      </c>
      <c r="I3" t="s">
        <v>397</v>
      </c>
      <c r="J3" t="s">
        <v>86</v>
      </c>
      <c r="AG3" t="s">
        <v>81</v>
      </c>
    </row>
    <row r="5" spans="1:33" ht="12.75">
      <c r="A5">
        <v>1992</v>
      </c>
      <c r="D5" s="10"/>
      <c r="E5" s="1"/>
      <c r="F5" s="1"/>
      <c r="G5" s="1"/>
      <c r="H5" s="1"/>
      <c r="I5" s="1"/>
      <c r="J5" s="9"/>
      <c r="K5" s="9"/>
      <c r="L5" s="9"/>
      <c r="M5" s="9"/>
      <c r="O5" s="9"/>
      <c r="P5" s="9"/>
      <c r="T5" s="27"/>
      <c r="U5" s="9"/>
      <c r="Y5" s="27"/>
      <c r="AA5" s="27"/>
      <c r="AB5" s="27"/>
      <c r="AC5" s="27"/>
      <c r="AG5" t="e">
        <f aca="true" t="shared" si="0" ref="AG5:AG14">LN(AD5)</f>
        <v>#NUM!</v>
      </c>
    </row>
    <row r="6" spans="1:33" ht="12.75">
      <c r="A6">
        <f aca="true" t="shared" si="1" ref="A6:A26">A5+1</f>
        <v>1993</v>
      </c>
      <c r="C6">
        <v>366925636.704</v>
      </c>
      <c r="D6" s="10">
        <v>2164094.5580999996</v>
      </c>
      <c r="E6" s="1">
        <f aca="true" t="shared" si="2" ref="E6:E15">C6/D6/1000</f>
        <v>0.1695515731189436</v>
      </c>
      <c r="F6" s="1"/>
      <c r="G6" s="1"/>
      <c r="H6" s="1"/>
      <c r="I6" s="1"/>
      <c r="J6" s="9"/>
      <c r="K6" s="9"/>
      <c r="L6" s="9"/>
      <c r="M6" s="1"/>
      <c r="O6" s="9"/>
      <c r="P6" s="1"/>
      <c r="T6" s="27"/>
      <c r="U6" s="9"/>
      <c r="Y6" s="27"/>
      <c r="AA6" s="27"/>
      <c r="AB6" s="27"/>
      <c r="AC6" s="27"/>
      <c r="AG6" t="e">
        <f t="shared" si="0"/>
        <v>#NUM!</v>
      </c>
    </row>
    <row r="7" spans="1:33" ht="12.75">
      <c r="A7">
        <f t="shared" si="1"/>
        <v>1994</v>
      </c>
      <c r="C7">
        <v>418873212.00000006</v>
      </c>
      <c r="D7" s="10">
        <v>2279186.31</v>
      </c>
      <c r="E7" s="1">
        <f t="shared" si="2"/>
        <v>0.18378190943065117</v>
      </c>
      <c r="F7" s="1"/>
      <c r="G7" s="1"/>
      <c r="H7" s="1"/>
      <c r="I7" s="1"/>
      <c r="J7" s="9"/>
      <c r="K7" s="9"/>
      <c r="L7" s="9"/>
      <c r="M7" s="1"/>
      <c r="N7" s="11"/>
      <c r="O7" s="9"/>
      <c r="P7" s="1"/>
      <c r="T7" s="27"/>
      <c r="U7" s="9"/>
      <c r="Y7" s="27"/>
      <c r="AA7" s="27"/>
      <c r="AB7" s="27"/>
      <c r="AC7" s="27"/>
      <c r="AG7" t="e">
        <f t="shared" si="0"/>
        <v>#NUM!</v>
      </c>
    </row>
    <row r="8" spans="1:33" ht="12.75">
      <c r="A8">
        <f t="shared" si="1"/>
        <v>1995</v>
      </c>
      <c r="C8">
        <v>489473000</v>
      </c>
      <c r="D8" s="10">
        <v>2372657</v>
      </c>
      <c r="E8" s="1">
        <f t="shared" si="2"/>
        <v>0.20629741256321502</v>
      </c>
      <c r="F8" s="1"/>
      <c r="G8" s="1"/>
      <c r="H8" s="1"/>
      <c r="I8" s="1"/>
      <c r="J8" s="9"/>
      <c r="K8" s="9"/>
      <c r="L8" s="9"/>
      <c r="M8" s="1"/>
      <c r="N8" s="11"/>
      <c r="O8" s="9"/>
      <c r="P8" s="1"/>
      <c r="T8" s="27"/>
      <c r="U8" s="9"/>
      <c r="Y8" s="27"/>
      <c r="AA8" s="27"/>
      <c r="AB8" s="27"/>
      <c r="AC8" s="27"/>
      <c r="AG8" t="e">
        <f t="shared" si="0"/>
        <v>#NUM!</v>
      </c>
    </row>
    <row r="9" spans="1:33" ht="12.75">
      <c r="A9">
        <f t="shared" si="1"/>
        <v>1996</v>
      </c>
      <c r="C9">
        <v>544756906.0773481</v>
      </c>
      <c r="D9" s="10">
        <v>2460053.201082056</v>
      </c>
      <c r="E9" s="1">
        <f t="shared" si="2"/>
        <v>0.22144110779300888</v>
      </c>
      <c r="F9" s="1"/>
      <c r="G9" s="1"/>
      <c r="H9" s="1"/>
      <c r="I9" s="1"/>
      <c r="J9" s="9"/>
      <c r="K9" s="9"/>
      <c r="L9" s="9"/>
      <c r="M9" s="1"/>
      <c r="N9" s="11"/>
      <c r="O9" s="9"/>
      <c r="P9" s="1"/>
      <c r="T9" s="27"/>
      <c r="U9" s="9"/>
      <c r="Y9" s="27"/>
      <c r="AA9" s="27"/>
      <c r="AB9" s="27"/>
      <c r="AC9" s="27"/>
      <c r="AG9" t="e">
        <f t="shared" si="0"/>
        <v>#NUM!</v>
      </c>
    </row>
    <row r="10" spans="1:33" ht="12.75">
      <c r="A10">
        <f t="shared" si="1"/>
        <v>1997</v>
      </c>
      <c r="C10">
        <v>618255739.6014642</v>
      </c>
      <c r="D10" s="10">
        <v>2577569.717021164</v>
      </c>
      <c r="E10" s="1">
        <f t="shared" si="2"/>
        <v>0.23985994850838316</v>
      </c>
      <c r="F10" s="1"/>
      <c r="G10" s="1"/>
      <c r="H10" s="1"/>
      <c r="I10" s="1"/>
      <c r="J10" s="9"/>
      <c r="K10" s="9"/>
      <c r="L10" s="9"/>
      <c r="M10" s="1"/>
      <c r="N10" s="11"/>
      <c r="O10" s="9"/>
      <c r="P10" s="1"/>
      <c r="T10" s="27"/>
      <c r="U10" s="9"/>
      <c r="Y10" s="27"/>
      <c r="AA10" s="27"/>
      <c r="AB10" s="27"/>
      <c r="AC10" s="27"/>
      <c r="AG10" t="e">
        <f t="shared" si="0"/>
        <v>#NUM!</v>
      </c>
    </row>
    <row r="11" spans="1:33" ht="12.75">
      <c r="A11">
        <f t="shared" si="1"/>
        <v>1998</v>
      </c>
      <c r="C11">
        <v>679739153.3852971</v>
      </c>
      <c r="D11" s="10">
        <v>2668803.591600994</v>
      </c>
      <c r="E11" s="1">
        <f t="shared" si="2"/>
        <v>0.25469808101446945</v>
      </c>
      <c r="F11" s="1"/>
      <c r="G11" s="1"/>
      <c r="H11" s="1"/>
      <c r="I11" s="1"/>
      <c r="J11" s="9"/>
      <c r="K11" s="9"/>
      <c r="L11" s="9"/>
      <c r="M11" s="1"/>
      <c r="N11" s="11"/>
      <c r="O11" s="9"/>
      <c r="P11" s="1"/>
      <c r="T11" s="27"/>
      <c r="U11" s="9"/>
      <c r="Y11" s="27"/>
      <c r="AA11" s="27"/>
      <c r="AB11" s="27"/>
      <c r="AC11" s="27"/>
      <c r="AG11" t="e">
        <f t="shared" si="0"/>
        <v>#NUM!</v>
      </c>
    </row>
    <row r="12" spans="1:33" ht="12.75">
      <c r="A12">
        <f t="shared" si="1"/>
        <v>1999</v>
      </c>
      <c r="C12">
        <v>822885508.827308</v>
      </c>
      <c r="D12" s="10">
        <v>2818198.9676663172</v>
      </c>
      <c r="E12" s="1">
        <f t="shared" si="2"/>
        <v>0.29198985531838434</v>
      </c>
      <c r="F12" s="1"/>
      <c r="G12" s="1"/>
      <c r="H12" s="1"/>
      <c r="I12" s="1"/>
      <c r="J12" s="9"/>
      <c r="K12" s="9"/>
      <c r="L12" s="9"/>
      <c r="M12" s="1"/>
      <c r="N12" s="11"/>
      <c r="O12" s="9"/>
      <c r="P12" s="1"/>
      <c r="T12" s="27"/>
      <c r="U12" s="9"/>
      <c r="Y12" s="27"/>
      <c r="AA12" s="27"/>
      <c r="AB12" s="27"/>
      <c r="AC12" s="27"/>
      <c r="AG12" t="e">
        <f t="shared" si="0"/>
        <v>#NUM!</v>
      </c>
    </row>
    <row r="13" spans="1:33" ht="12.75">
      <c r="A13">
        <f t="shared" si="1"/>
        <v>2000</v>
      </c>
      <c r="C13">
        <v>827957820.4681327</v>
      </c>
      <c r="D13" s="10">
        <v>2928821.050097774</v>
      </c>
      <c r="E13" s="1">
        <f t="shared" si="2"/>
        <v>0.28269320873683723</v>
      </c>
      <c r="F13" s="1"/>
      <c r="G13" s="1"/>
      <c r="H13" s="1"/>
      <c r="I13" s="1"/>
      <c r="J13" s="9"/>
      <c r="K13" s="9"/>
      <c r="L13" s="9"/>
      <c r="M13" s="1"/>
      <c r="N13" s="11"/>
      <c r="O13" s="9"/>
      <c r="P13" s="1"/>
      <c r="T13" s="27"/>
      <c r="U13" s="9"/>
      <c r="Y13" s="27"/>
      <c r="AA13" s="27"/>
      <c r="AB13" s="27"/>
      <c r="AC13" s="27"/>
      <c r="AG13" t="e">
        <f t="shared" si="0"/>
        <v>#NUM!</v>
      </c>
    </row>
    <row r="14" spans="1:33" ht="12.75">
      <c r="A14">
        <f t="shared" si="1"/>
        <v>2001</v>
      </c>
      <c r="C14">
        <v>862355288.4497948</v>
      </c>
      <c r="D14" s="10">
        <v>3006181.355828385</v>
      </c>
      <c r="E14" s="1">
        <f t="shared" si="2"/>
        <v>0.2868607001297045</v>
      </c>
      <c r="F14" s="1"/>
      <c r="G14" s="1"/>
      <c r="H14" s="1"/>
      <c r="I14" s="1"/>
      <c r="J14" s="9"/>
      <c r="K14" s="9"/>
      <c r="L14" s="9"/>
      <c r="M14" s="1"/>
      <c r="N14" s="11"/>
      <c r="O14" s="9"/>
      <c r="P14" s="1"/>
      <c r="T14" s="27"/>
      <c r="U14" s="9"/>
      <c r="Y14" s="27"/>
      <c r="AA14" s="27"/>
      <c r="AB14" s="27"/>
      <c r="AC14" s="27"/>
      <c r="AG14" t="e">
        <f t="shared" si="0"/>
        <v>#NUM!</v>
      </c>
    </row>
    <row r="15" spans="1:29" ht="12.75">
      <c r="A15">
        <f t="shared" si="1"/>
        <v>2002</v>
      </c>
      <c r="C15">
        <v>889237374.0296417</v>
      </c>
      <c r="D15" s="10">
        <v>3106567.710168912</v>
      </c>
      <c r="E15" s="1">
        <f t="shared" si="2"/>
        <v>0.28624432395883354</v>
      </c>
      <c r="F15" s="1"/>
      <c r="G15" s="1"/>
      <c r="H15" s="1"/>
      <c r="I15" s="1"/>
      <c r="J15" s="1">
        <f>E15</f>
        <v>0.28624432395883354</v>
      </c>
      <c r="K15" s="9"/>
      <c r="L15" s="9"/>
      <c r="M15" s="1"/>
      <c r="N15" s="11"/>
      <c r="O15" s="9"/>
      <c r="P15" s="1"/>
      <c r="T15" s="27"/>
      <c r="U15" s="9"/>
      <c r="Y15" s="27"/>
      <c r="AA15" s="1"/>
      <c r="AB15" s="1"/>
      <c r="AC15" s="1"/>
    </row>
    <row r="16" spans="1:14" ht="12.75">
      <c r="A16">
        <f t="shared" si="1"/>
        <v>2003</v>
      </c>
      <c r="F16">
        <v>0.075</v>
      </c>
      <c r="G16">
        <f>'base projection'!J6</f>
        <v>0.0358336080895812</v>
      </c>
      <c r="H16">
        <v>2.14</v>
      </c>
      <c r="I16">
        <f>'base projection'!F6</f>
        <v>0.010478418875689455</v>
      </c>
      <c r="J16" s="1">
        <f>H16*(1+I16)^(A16-2002)*(1-(1-F16)/((1+G16)*(1+I16)))</f>
        <v>0.25140260165384826</v>
      </c>
      <c r="K16" s="9"/>
      <c r="L16" s="9"/>
      <c r="N16" s="11"/>
    </row>
    <row r="17" spans="1:12" ht="12.75">
      <c r="A17">
        <f t="shared" si="1"/>
        <v>2004</v>
      </c>
      <c r="F17">
        <f>F16</f>
        <v>0.075</v>
      </c>
      <c r="G17">
        <f>G16</f>
        <v>0.0358336080895812</v>
      </c>
      <c r="H17">
        <f>H16</f>
        <v>2.14</v>
      </c>
      <c r="I17">
        <f>I16</f>
        <v>0.010478418875689455</v>
      </c>
      <c r="J17" s="1">
        <f aca="true" t="shared" si="3" ref="J17:J26">H17*(1+I17)^(A17-2002)*(1-(1-F17)/((1+G17)*(1+I17)))</f>
        <v>0.2540369034204154</v>
      </c>
      <c r="K17" s="9"/>
      <c r="L17" s="9"/>
    </row>
    <row r="18" spans="1:33" ht="12.75">
      <c r="A18">
        <f t="shared" si="1"/>
        <v>2005</v>
      </c>
      <c r="F18">
        <f aca="true" t="shared" si="4" ref="F18:F26">F17</f>
        <v>0.075</v>
      </c>
      <c r="G18">
        <f aca="true" t="shared" si="5" ref="G18:G26">G17</f>
        <v>0.0358336080895812</v>
      </c>
      <c r="H18">
        <f aca="true" t="shared" si="6" ref="H18:H26">H17</f>
        <v>2.14</v>
      </c>
      <c r="I18">
        <f aca="true" t="shared" si="7" ref="I18:I26">I17</f>
        <v>0.010478418875689455</v>
      </c>
      <c r="J18" s="1">
        <f t="shared" si="3"/>
        <v>0.2566988085043376</v>
      </c>
      <c r="K18" s="9"/>
      <c r="L18" s="9"/>
      <c r="AG18" s="9"/>
    </row>
    <row r="19" spans="1:12" ht="12.75">
      <c r="A19">
        <f t="shared" si="1"/>
        <v>2006</v>
      </c>
      <c r="F19">
        <f t="shared" si="4"/>
        <v>0.075</v>
      </c>
      <c r="G19">
        <f t="shared" si="5"/>
        <v>0.0358336080895812</v>
      </c>
      <c r="H19">
        <f t="shared" si="6"/>
        <v>2.14</v>
      </c>
      <c r="I19">
        <f t="shared" si="7"/>
        <v>0.010478418875689455</v>
      </c>
      <c r="J19" s="1">
        <f t="shared" si="3"/>
        <v>0.2593886061447364</v>
      </c>
      <c r="K19" s="9"/>
      <c r="L19" s="9"/>
    </row>
    <row r="20" spans="1:12" ht="12.75">
      <c r="A20">
        <f t="shared" si="1"/>
        <v>2007</v>
      </c>
      <c r="F20">
        <f t="shared" si="4"/>
        <v>0.075</v>
      </c>
      <c r="G20">
        <f t="shared" si="5"/>
        <v>0.0358336080895812</v>
      </c>
      <c r="H20">
        <f t="shared" si="6"/>
        <v>2.14</v>
      </c>
      <c r="I20">
        <f t="shared" si="7"/>
        <v>0.010478418875689455</v>
      </c>
      <c r="J20" s="1">
        <f t="shared" si="3"/>
        <v>0.2621065886115022</v>
      </c>
      <c r="K20" s="9"/>
      <c r="L20" s="9"/>
    </row>
    <row r="21" spans="1:21" ht="12.75">
      <c r="A21">
        <f t="shared" si="1"/>
        <v>2008</v>
      </c>
      <c r="F21">
        <f t="shared" si="4"/>
        <v>0.075</v>
      </c>
      <c r="G21">
        <f t="shared" si="5"/>
        <v>0.0358336080895812</v>
      </c>
      <c r="H21">
        <f t="shared" si="6"/>
        <v>2.14</v>
      </c>
      <c r="I21">
        <f t="shared" si="7"/>
        <v>0.010478418875689455</v>
      </c>
      <c r="J21" s="1">
        <f t="shared" si="3"/>
        <v>0.26485305123705155</v>
      </c>
      <c r="K21" s="9"/>
      <c r="L21" s="9"/>
      <c r="M21" s="9"/>
      <c r="O21" s="9"/>
      <c r="P21" s="9"/>
      <c r="T21" s="27"/>
      <c r="U21" s="9"/>
    </row>
    <row r="22" spans="1:21" ht="12.75">
      <c r="A22">
        <f t="shared" si="1"/>
        <v>2009</v>
      </c>
      <c r="F22">
        <f t="shared" si="4"/>
        <v>0.075</v>
      </c>
      <c r="G22">
        <f t="shared" si="5"/>
        <v>0.0358336080895812</v>
      </c>
      <c r="H22">
        <f t="shared" si="6"/>
        <v>2.14</v>
      </c>
      <c r="I22">
        <f t="shared" si="7"/>
        <v>0.010478418875689455</v>
      </c>
      <c r="J22" s="1">
        <f t="shared" si="3"/>
        <v>0.2676282924484178</v>
      </c>
      <c r="K22" s="9"/>
      <c r="L22" s="9"/>
      <c r="M22" s="9"/>
      <c r="O22" s="9"/>
      <c r="P22" s="1"/>
      <c r="T22" s="27"/>
      <c r="U22" s="9"/>
    </row>
    <row r="23" spans="1:21" ht="12.75">
      <c r="A23">
        <f t="shared" si="1"/>
        <v>2010</v>
      </c>
      <c r="F23">
        <f t="shared" si="4"/>
        <v>0.075</v>
      </c>
      <c r="G23">
        <f t="shared" si="5"/>
        <v>0.0358336080895812</v>
      </c>
      <c r="H23">
        <f t="shared" si="6"/>
        <v>2.14</v>
      </c>
      <c r="I23">
        <f t="shared" si="7"/>
        <v>0.010478418875689455</v>
      </c>
      <c r="J23" s="1">
        <f t="shared" si="3"/>
        <v>0.2704326137996778</v>
      </c>
      <c r="K23" s="9"/>
      <c r="L23" s="9"/>
      <c r="M23" s="9"/>
      <c r="N23" s="11"/>
      <c r="O23" s="9"/>
      <c r="P23" s="1"/>
      <c r="T23" s="27"/>
      <c r="U23" s="9"/>
    </row>
    <row r="24" spans="1:21" ht="12.75">
      <c r="A24">
        <f t="shared" si="1"/>
        <v>2011</v>
      </c>
      <c r="F24">
        <f t="shared" si="4"/>
        <v>0.075</v>
      </c>
      <c r="G24">
        <f t="shared" si="5"/>
        <v>0.0358336080895812</v>
      </c>
      <c r="H24">
        <f t="shared" si="6"/>
        <v>2.14</v>
      </c>
      <c r="I24">
        <f t="shared" si="7"/>
        <v>0.010478418875689455</v>
      </c>
      <c r="J24" s="1">
        <f t="shared" si="3"/>
        <v>0.2732663200047184</v>
      </c>
      <c r="K24" s="9"/>
      <c r="L24" s="9"/>
      <c r="M24" s="9"/>
      <c r="N24" s="11"/>
      <c r="O24" s="9"/>
      <c r="P24" s="1"/>
      <c r="T24" s="27"/>
      <c r="U24" s="9"/>
    </row>
    <row r="25" spans="1:21" ht="12.75">
      <c r="A25">
        <f t="shared" si="1"/>
        <v>2012</v>
      </c>
      <c r="F25">
        <f t="shared" si="4"/>
        <v>0.075</v>
      </c>
      <c r="G25">
        <f t="shared" si="5"/>
        <v>0.0358336080895812</v>
      </c>
      <c r="H25">
        <f t="shared" si="6"/>
        <v>2.14</v>
      </c>
      <c r="I25">
        <f t="shared" si="7"/>
        <v>0.010478418875689455</v>
      </c>
      <c r="J25" s="1">
        <f t="shared" si="3"/>
        <v>0.2761297189703461</v>
      </c>
      <c r="K25" s="9"/>
      <c r="L25" s="9"/>
      <c r="M25" s="9"/>
      <c r="N25" s="11"/>
      <c r="O25" s="9"/>
      <c r="P25" s="1"/>
      <c r="T25" s="27"/>
      <c r="U25" s="9"/>
    </row>
    <row r="26" spans="1:21" ht="12.75">
      <c r="A26">
        <f t="shared" si="1"/>
        <v>2013</v>
      </c>
      <c r="F26">
        <f t="shared" si="4"/>
        <v>0.075</v>
      </c>
      <c r="G26">
        <f t="shared" si="5"/>
        <v>0.0358336080895812</v>
      </c>
      <c r="H26">
        <f t="shared" si="6"/>
        <v>2.14</v>
      </c>
      <c r="I26">
        <f t="shared" si="7"/>
        <v>0.010478418875689455</v>
      </c>
      <c r="J26" s="1">
        <f t="shared" si="3"/>
        <v>0.27902312182974376</v>
      </c>
      <c r="K26" s="9"/>
      <c r="L26" s="9"/>
      <c r="M26" s="9"/>
      <c r="N26" s="11"/>
      <c r="O26" s="9"/>
      <c r="P26" s="1"/>
      <c r="T26" s="27"/>
      <c r="U26" s="9"/>
    </row>
    <row r="27" spans="5:21" ht="12.75">
      <c r="E27" s="9"/>
      <c r="F27" s="9"/>
      <c r="G27" s="9"/>
      <c r="H27" s="9"/>
      <c r="I27" s="9"/>
      <c r="J27" s="9"/>
      <c r="K27" s="9"/>
      <c r="L27" s="9"/>
      <c r="M27" s="9"/>
      <c r="N27" s="11"/>
      <c r="O27" s="9"/>
      <c r="P27" s="1"/>
      <c r="T27" s="27"/>
      <c r="U27" s="9"/>
    </row>
    <row r="28" spans="5:21" ht="12.75">
      <c r="E28" s="9"/>
      <c r="F28" s="9"/>
      <c r="G28" s="9"/>
      <c r="H28" s="9"/>
      <c r="I28" s="9"/>
      <c r="J28" s="9"/>
      <c r="K28" s="9"/>
      <c r="L28" s="9"/>
      <c r="M28" s="9"/>
      <c r="N28" s="11"/>
      <c r="O28" s="9"/>
      <c r="P28" s="1"/>
      <c r="T28" s="27"/>
      <c r="U28" s="9"/>
    </row>
    <row r="29" spans="5:21" ht="12.75">
      <c r="E29" s="9"/>
      <c r="F29" s="9"/>
      <c r="G29" s="9"/>
      <c r="H29" s="9"/>
      <c r="I29" s="9"/>
      <c r="J29" s="9"/>
      <c r="K29" s="9"/>
      <c r="L29" s="9"/>
      <c r="M29" s="9"/>
      <c r="N29" s="11"/>
      <c r="O29" s="9"/>
      <c r="P29" s="1"/>
      <c r="T29" s="27"/>
      <c r="U29" s="9"/>
    </row>
    <row r="30" spans="5:21" ht="12.75">
      <c r="E30" s="9"/>
      <c r="F30" s="9"/>
      <c r="G30" s="9"/>
      <c r="H30" s="9"/>
      <c r="I30" s="9"/>
      <c r="J30" s="9"/>
      <c r="K30" s="9"/>
      <c r="L30" s="9"/>
      <c r="M30" s="9"/>
      <c r="N30" s="11"/>
      <c r="O30" s="9"/>
      <c r="P30" s="1"/>
      <c r="T30" s="27"/>
      <c r="U30" s="9"/>
    </row>
    <row r="31" spans="5:21" ht="12.75">
      <c r="E31" s="9"/>
      <c r="F31" s="9"/>
      <c r="G31" s="9"/>
      <c r="H31" s="9"/>
      <c r="I31" s="9"/>
      <c r="J31" s="9"/>
      <c r="K31" s="9"/>
      <c r="L31" s="9"/>
      <c r="M31" s="9"/>
      <c r="N31" s="11"/>
      <c r="O31" s="9"/>
      <c r="P31" s="1"/>
      <c r="T31" s="27"/>
      <c r="U31" s="9"/>
    </row>
    <row r="37" spans="5:21" ht="12.75">
      <c r="E37" s="9"/>
      <c r="F37" s="9"/>
      <c r="G37" s="9"/>
      <c r="H37" s="9"/>
      <c r="I37" s="9"/>
      <c r="J37" s="9"/>
      <c r="K37" s="9"/>
      <c r="L37" s="9"/>
      <c r="M37" s="9"/>
      <c r="O37" s="9"/>
      <c r="P37" s="9"/>
      <c r="T37" s="27"/>
      <c r="U37" s="9"/>
    </row>
    <row r="38" spans="5:21" ht="12.75">
      <c r="E38" s="9"/>
      <c r="F38" s="9"/>
      <c r="G38" s="9"/>
      <c r="H38" s="9"/>
      <c r="I38" s="9"/>
      <c r="J38" s="9"/>
      <c r="K38" s="9"/>
      <c r="L38" s="9"/>
      <c r="M38" s="9"/>
      <c r="O38" s="9"/>
      <c r="P38" s="1"/>
      <c r="T38" s="27"/>
      <c r="U38" s="9"/>
    </row>
    <row r="39" spans="5:21" ht="12.75">
      <c r="E39" s="9"/>
      <c r="F39" s="9"/>
      <c r="G39" s="9"/>
      <c r="H39" s="9"/>
      <c r="I39" s="9"/>
      <c r="J39" s="9"/>
      <c r="K39" s="9"/>
      <c r="L39" s="9"/>
      <c r="M39" s="9"/>
      <c r="N39" s="11"/>
      <c r="O39" s="9"/>
      <c r="P39" s="1"/>
      <c r="T39" s="27"/>
      <c r="U39" s="9"/>
    </row>
    <row r="40" spans="5:21" ht="12.75">
      <c r="E40" s="9"/>
      <c r="F40" s="9"/>
      <c r="G40" s="9"/>
      <c r="H40" s="9"/>
      <c r="I40" s="9"/>
      <c r="J40" s="9"/>
      <c r="K40" s="9"/>
      <c r="L40" s="9"/>
      <c r="M40" s="9"/>
      <c r="N40" s="11"/>
      <c r="O40" s="9"/>
      <c r="P40" s="1"/>
      <c r="T40" s="27"/>
      <c r="U40" s="9"/>
    </row>
    <row r="41" spans="5:21" ht="12.75">
      <c r="E41" s="9"/>
      <c r="F41" s="9"/>
      <c r="G41" s="9"/>
      <c r="H41" s="9"/>
      <c r="I41" s="9"/>
      <c r="J41" s="9"/>
      <c r="K41" s="9"/>
      <c r="L41" s="9"/>
      <c r="M41" s="9"/>
      <c r="N41" s="11"/>
      <c r="O41" s="9"/>
      <c r="P41" s="1"/>
      <c r="T41" s="27"/>
      <c r="U41" s="9"/>
    </row>
    <row r="42" spans="5:21" ht="12.75">
      <c r="E42" s="9"/>
      <c r="F42" s="9"/>
      <c r="G42" s="9"/>
      <c r="H42" s="9"/>
      <c r="I42" s="9"/>
      <c r="J42" s="9"/>
      <c r="K42" s="9"/>
      <c r="L42" s="9"/>
      <c r="M42" s="9"/>
      <c r="N42" s="11"/>
      <c r="O42" s="9"/>
      <c r="P42" s="1"/>
      <c r="T42" s="27"/>
      <c r="U42" s="9"/>
    </row>
    <row r="43" spans="5:21" ht="12.75">
      <c r="E43" s="9"/>
      <c r="F43" s="9"/>
      <c r="G43" s="9"/>
      <c r="H43" s="9"/>
      <c r="I43" s="9"/>
      <c r="J43" s="9"/>
      <c r="K43" s="9"/>
      <c r="L43" s="9"/>
      <c r="M43" s="9"/>
      <c r="N43" s="11"/>
      <c r="O43" s="9"/>
      <c r="P43" s="1"/>
      <c r="T43" s="27"/>
      <c r="U43" s="9"/>
    </row>
    <row r="44" spans="5:21" ht="12.75">
      <c r="E44" s="9"/>
      <c r="F44" s="9"/>
      <c r="G44" s="9"/>
      <c r="H44" s="9"/>
      <c r="I44" s="9"/>
      <c r="J44" s="9"/>
      <c r="K44" s="9"/>
      <c r="L44" s="9"/>
      <c r="M44" s="9"/>
      <c r="N44" s="11"/>
      <c r="O44" s="9"/>
      <c r="P44" s="1"/>
      <c r="T44" s="27"/>
      <c r="U44" s="9"/>
    </row>
    <row r="45" spans="5:21" ht="12.75">
      <c r="E45" s="9"/>
      <c r="F45" s="9"/>
      <c r="G45" s="9"/>
      <c r="H45" s="9"/>
      <c r="I45" s="9"/>
      <c r="J45" s="9"/>
      <c r="K45" s="9"/>
      <c r="L45" s="9"/>
      <c r="M45" s="9"/>
      <c r="N45" s="11"/>
      <c r="O45" s="9"/>
      <c r="P45" s="1"/>
      <c r="T45" s="27"/>
      <c r="U45" s="9"/>
    </row>
    <row r="46" spans="5:21" ht="12.75">
      <c r="E46" s="9"/>
      <c r="F46" s="9"/>
      <c r="G46" s="9"/>
      <c r="H46" s="9"/>
      <c r="I46" s="9"/>
      <c r="J46" s="9"/>
      <c r="K46" s="9"/>
      <c r="L46" s="9"/>
      <c r="M46" s="9"/>
      <c r="N46" s="11"/>
      <c r="O46" s="9"/>
      <c r="P46" s="1"/>
      <c r="T46" s="27"/>
      <c r="U46" s="9"/>
    </row>
    <row r="47" spans="5:21" ht="12.75">
      <c r="E47" s="9"/>
      <c r="F47" s="9"/>
      <c r="G47" s="9"/>
      <c r="H47" s="9"/>
      <c r="I47" s="9"/>
      <c r="J47" s="9"/>
      <c r="K47" s="9"/>
      <c r="L47" s="9"/>
      <c r="M47" s="9"/>
      <c r="N47" s="11"/>
      <c r="O47" s="9"/>
      <c r="P47" s="1"/>
      <c r="T47" s="27"/>
      <c r="U47" s="9"/>
    </row>
  </sheetData>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A1"/>
  <sheetViews>
    <sheetView workbookViewId="0" topLeftCell="A1">
      <selection activeCell="B4" sqref="B4"/>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F32"/>
  <sheetViews>
    <sheetView workbookViewId="0" topLeftCell="A1">
      <selection activeCell="A33" sqref="A33"/>
    </sheetView>
  </sheetViews>
  <sheetFormatPr defaultColWidth="9.140625" defaultRowHeight="12.75"/>
  <sheetData>
    <row r="1" ht="12.75">
      <c r="A1" t="s">
        <v>3</v>
      </c>
    </row>
    <row r="3" spans="1:6" ht="12.75">
      <c r="A3" t="s">
        <v>1</v>
      </c>
      <c r="C3" t="s">
        <v>2</v>
      </c>
      <c r="D3" t="s">
        <v>481</v>
      </c>
      <c r="E3" t="s">
        <v>0</v>
      </c>
      <c r="F3" t="s">
        <v>197</v>
      </c>
    </row>
    <row r="5" spans="1:6" ht="12.75">
      <c r="A5">
        <v>1980</v>
      </c>
      <c r="E5" s="1">
        <f aca="true" t="shared" si="0" ref="E5:E24">E6/(1+C6/100)</f>
        <v>973.3576276915958</v>
      </c>
      <c r="F5" s="1">
        <f>E5/1041.531</f>
        <v>0.9345450377296459</v>
      </c>
    </row>
    <row r="6" spans="1:6" ht="12.75">
      <c r="A6">
        <f>A5+1</f>
        <v>1981</v>
      </c>
      <c r="C6" s="1">
        <v>0.33351862145636346</v>
      </c>
      <c r="D6" s="1">
        <f>C6/100</f>
        <v>0.0033351862145636346</v>
      </c>
      <c r="E6" s="1">
        <f t="shared" si="0"/>
        <v>976.6039566333131</v>
      </c>
      <c r="F6" s="1">
        <f aca="true" t="shared" si="1" ref="F6:F27">E6/1041.531</f>
        <v>0.9376619194563707</v>
      </c>
    </row>
    <row r="7" spans="1:6" ht="12.75">
      <c r="A7">
        <f aca="true" t="shared" si="2" ref="A7:A27">A6+1</f>
        <v>1982</v>
      </c>
      <c r="C7" s="1">
        <v>0.46537396121884456</v>
      </c>
      <c r="D7" s="1">
        <f aca="true" t="shared" si="3" ref="D7:D27">C7/100</f>
        <v>0.004653739612188445</v>
      </c>
      <c r="E7" s="1">
        <f t="shared" si="0"/>
        <v>981.1488171517175</v>
      </c>
      <c r="F7" s="1">
        <f t="shared" si="1"/>
        <v>0.9420255538737854</v>
      </c>
    </row>
    <row r="8" spans="1:6" ht="12.75">
      <c r="A8">
        <f t="shared" si="2"/>
        <v>1983</v>
      </c>
      <c r="C8" s="1">
        <v>0.5845373331862902</v>
      </c>
      <c r="D8" s="1">
        <f t="shared" si="3"/>
        <v>0.005845373331862902</v>
      </c>
      <c r="E8" s="1">
        <f t="shared" si="0"/>
        <v>986.8839982820849</v>
      </c>
      <c r="F8" s="1">
        <f t="shared" si="1"/>
        <v>0.9475320449243325</v>
      </c>
    </row>
    <row r="9" spans="1:6" ht="12.75">
      <c r="A9">
        <f t="shared" si="2"/>
        <v>1984</v>
      </c>
      <c r="C9" s="1">
        <v>1.7105263157894797</v>
      </c>
      <c r="D9" s="1">
        <f t="shared" si="3"/>
        <v>0.017105263157894797</v>
      </c>
      <c r="E9" s="1">
        <f t="shared" si="0"/>
        <v>1003.7649087790153</v>
      </c>
      <c r="F9" s="1">
        <f t="shared" si="1"/>
        <v>0.9637398299033013</v>
      </c>
    </row>
    <row r="10" spans="1:6" ht="12.75">
      <c r="A10">
        <f t="shared" si="2"/>
        <v>1985</v>
      </c>
      <c r="C10" s="1">
        <v>1.951272100043127</v>
      </c>
      <c r="D10" s="1">
        <f t="shared" si="3"/>
        <v>0.01951272100043127</v>
      </c>
      <c r="E10" s="1">
        <f t="shared" si="0"/>
        <v>1023.3510933940436</v>
      </c>
      <c r="F10" s="1">
        <f t="shared" si="1"/>
        <v>0.9825450163212075</v>
      </c>
    </row>
    <row r="11" spans="1:6" ht="12.75">
      <c r="A11">
        <f t="shared" si="2"/>
        <v>1986</v>
      </c>
      <c r="C11" s="1">
        <v>1.7764618800888172</v>
      </c>
      <c r="D11" s="1">
        <f t="shared" si="3"/>
        <v>0.01776461880088817</v>
      </c>
      <c r="E11" s="1">
        <f t="shared" si="0"/>
        <v>1041.530535467661</v>
      </c>
      <c r="F11" s="1">
        <f t="shared" si="1"/>
        <v>0.9999995539908663</v>
      </c>
    </row>
    <row r="12" spans="1:6" ht="12.75">
      <c r="A12">
        <f t="shared" si="2"/>
        <v>1987</v>
      </c>
      <c r="C12" s="1">
        <v>0.7480519480519376</v>
      </c>
      <c r="D12" s="1">
        <f t="shared" si="3"/>
        <v>0.007480519480519377</v>
      </c>
      <c r="E12" s="1">
        <f t="shared" si="0"/>
        <v>1049.3217249277825</v>
      </c>
      <c r="F12" s="1">
        <f t="shared" si="1"/>
        <v>1.0074800701350057</v>
      </c>
    </row>
    <row r="13" spans="1:6" ht="12.75">
      <c r="A13">
        <f t="shared" si="2"/>
        <v>1988</v>
      </c>
      <c r="C13" s="1">
        <v>-0.43312364648861035</v>
      </c>
      <c r="D13" s="1">
        <f t="shared" si="3"/>
        <v>-0.004331236464886103</v>
      </c>
      <c r="E13" s="1">
        <f t="shared" si="0"/>
        <v>1044.776864409378</v>
      </c>
      <c r="F13" s="1">
        <f t="shared" si="1"/>
        <v>1.0031164357175908</v>
      </c>
    </row>
    <row r="14" spans="1:6" ht="12.75">
      <c r="A14">
        <f t="shared" si="2"/>
        <v>1989</v>
      </c>
      <c r="C14" s="1">
        <v>-1.0150181253236639</v>
      </c>
      <c r="D14" s="1">
        <f t="shared" si="3"/>
        <v>-0.01015018125323664</v>
      </c>
      <c r="E14" s="1">
        <f t="shared" si="0"/>
        <v>1034.1721898664346</v>
      </c>
      <c r="F14" s="1">
        <f t="shared" si="1"/>
        <v>0.9929346220769565</v>
      </c>
    </row>
    <row r="15" spans="1:6" ht="12.75">
      <c r="A15">
        <f t="shared" si="2"/>
        <v>1990</v>
      </c>
      <c r="C15" s="1">
        <v>-3.3169404624882333</v>
      </c>
      <c r="D15" s="1">
        <f t="shared" si="3"/>
        <v>-0.03316940462488233</v>
      </c>
      <c r="E15" s="1">
        <f t="shared" si="0"/>
        <v>999.8693140489542</v>
      </c>
      <c r="F15" s="1">
        <f t="shared" si="1"/>
        <v>0.9599995718312313</v>
      </c>
    </row>
    <row r="16" spans="1:6" ht="12.75">
      <c r="A16">
        <f t="shared" si="2"/>
        <v>1991</v>
      </c>
      <c r="C16" s="1">
        <v>-5.46536796536796</v>
      </c>
      <c r="D16" s="1">
        <f t="shared" si="3"/>
        <v>-0.0546536796536796</v>
      </c>
      <c r="E16" s="1">
        <f t="shared" si="0"/>
        <v>945.2227768633783</v>
      </c>
      <c r="F16" s="1">
        <f t="shared" si="1"/>
        <v>0.9075320627646977</v>
      </c>
    </row>
    <row r="17" spans="1:6" ht="12.75">
      <c r="A17">
        <f t="shared" si="2"/>
        <v>1992</v>
      </c>
      <c r="C17" s="1">
        <v>-4.464796794504863</v>
      </c>
      <c r="D17" s="1">
        <f t="shared" si="3"/>
        <v>-0.04464796794504863</v>
      </c>
      <c r="E17" s="1">
        <f t="shared" si="0"/>
        <v>903.0205006210523</v>
      </c>
      <c r="F17" s="1">
        <f t="shared" si="1"/>
        <v>0.8670126003172756</v>
      </c>
    </row>
    <row r="18" spans="1:6" ht="12.75">
      <c r="A18">
        <f t="shared" si="2"/>
        <v>1993</v>
      </c>
      <c r="C18" s="1">
        <v>-1.8</v>
      </c>
      <c r="D18" s="1">
        <f t="shared" si="3"/>
        <v>-0.018000000000000002</v>
      </c>
      <c r="E18" s="1">
        <f t="shared" si="0"/>
        <v>886.7661316098734</v>
      </c>
      <c r="F18" s="1">
        <f t="shared" si="1"/>
        <v>0.8514063735115646</v>
      </c>
    </row>
    <row r="19" spans="1:6" ht="12.75">
      <c r="A19">
        <f t="shared" si="2"/>
        <v>1994</v>
      </c>
      <c r="C19" s="1">
        <v>-0.4</v>
      </c>
      <c r="D19" s="1">
        <f t="shared" si="3"/>
        <v>-0.004</v>
      </c>
      <c r="E19" s="1">
        <f t="shared" si="0"/>
        <v>883.2190670834339</v>
      </c>
      <c r="F19" s="1">
        <f t="shared" si="1"/>
        <v>0.8480007480175183</v>
      </c>
    </row>
    <row r="20" spans="1:6" ht="12.75">
      <c r="A20">
        <f t="shared" si="2"/>
        <v>1995</v>
      </c>
      <c r="C20" s="1">
        <v>1.041411418769897</v>
      </c>
      <c r="D20" s="1">
        <f t="shared" si="3"/>
        <v>0.010414114187698971</v>
      </c>
      <c r="E20" s="1">
        <f t="shared" si="0"/>
        <v>892.4170113007938</v>
      </c>
      <c r="F20" s="1">
        <f t="shared" si="1"/>
        <v>0.856831924638627</v>
      </c>
    </row>
    <row r="21" spans="1:6" ht="12.75">
      <c r="A21">
        <f t="shared" si="2"/>
        <v>1996</v>
      </c>
      <c r="C21" s="1">
        <v>-0.9700497150478924</v>
      </c>
      <c r="D21" s="1">
        <f t="shared" si="3"/>
        <v>-0.009700497150478923</v>
      </c>
      <c r="E21" s="1">
        <f t="shared" si="0"/>
        <v>883.7601226256315</v>
      </c>
      <c r="F21" s="1">
        <f t="shared" si="1"/>
        <v>0.8485202289952306</v>
      </c>
    </row>
    <row r="22" spans="1:6" ht="12.75">
      <c r="A22">
        <f t="shared" si="2"/>
        <v>1997</v>
      </c>
      <c r="C22" s="1">
        <v>-0.5142647238888287</v>
      </c>
      <c r="D22" s="1">
        <f t="shared" si="3"/>
        <v>-0.005142647238888287</v>
      </c>
      <c r="E22" s="1">
        <f t="shared" si="0"/>
        <v>879.2152560711713</v>
      </c>
      <c r="F22" s="1">
        <f t="shared" si="1"/>
        <v>0.8441565887824476</v>
      </c>
    </row>
    <row r="23" spans="1:6" ht="12.75">
      <c r="A23">
        <f t="shared" si="2"/>
        <v>1998</v>
      </c>
      <c r="C23" s="1">
        <v>0.01230769230768658</v>
      </c>
      <c r="D23" s="1">
        <f t="shared" si="3"/>
        <v>0.0001230769230768658</v>
      </c>
      <c r="E23" s="1">
        <f t="shared" si="0"/>
        <v>879.3234671796108</v>
      </c>
      <c r="F23" s="1">
        <f t="shared" si="1"/>
        <v>0.84426048497799</v>
      </c>
    </row>
    <row r="24" spans="1:6" ht="12.75">
      <c r="A24">
        <f t="shared" si="2"/>
        <v>1999</v>
      </c>
      <c r="C24" s="1">
        <v>1.2306177701205883</v>
      </c>
      <c r="D24" s="1">
        <f t="shared" si="3"/>
        <v>0.012306177701205883</v>
      </c>
      <c r="E24" s="1">
        <f t="shared" si="0"/>
        <v>890.1445780235636</v>
      </c>
      <c r="F24" s="1">
        <f t="shared" si="1"/>
        <v>0.8546501045322353</v>
      </c>
    </row>
    <row r="25" spans="1:6" ht="12.75">
      <c r="A25">
        <f t="shared" si="2"/>
        <v>2000</v>
      </c>
      <c r="C25" s="1">
        <v>1.1184050571359023</v>
      </c>
      <c r="D25" s="1">
        <f t="shared" si="3"/>
        <v>0.011184050571359024</v>
      </c>
      <c r="E25" s="1">
        <v>900.1</v>
      </c>
      <c r="F25" s="1">
        <f t="shared" si="1"/>
        <v>0.8642085545221411</v>
      </c>
    </row>
    <row r="26" spans="1:6" ht="12.75">
      <c r="A26">
        <f t="shared" si="2"/>
        <v>2001</v>
      </c>
      <c r="C26" s="1">
        <f>(E26-E25)/E25*100</f>
        <v>0.46661482057548404</v>
      </c>
      <c r="D26" s="1">
        <f t="shared" si="3"/>
        <v>0.00466614820575484</v>
      </c>
      <c r="E26" s="1">
        <v>904.3</v>
      </c>
      <c r="F26" s="1">
        <f t="shared" si="1"/>
        <v>0.8682410797182225</v>
      </c>
    </row>
    <row r="27" spans="1:6" ht="12.75">
      <c r="A27">
        <f t="shared" si="2"/>
        <v>2002</v>
      </c>
      <c r="C27" s="1">
        <f>(E27-E26)/E26*100</f>
        <v>-0.5307973017803777</v>
      </c>
      <c r="D27" s="1">
        <f t="shared" si="3"/>
        <v>-0.005307973017803776</v>
      </c>
      <c r="E27" s="1">
        <v>899.5</v>
      </c>
      <c r="F27" s="1">
        <f t="shared" si="1"/>
        <v>0.8636324794941294</v>
      </c>
    </row>
    <row r="28" ht="12.75">
      <c r="E28" s="1"/>
    </row>
    <row r="29" spans="1:5" ht="12.75">
      <c r="A29" t="s">
        <v>100</v>
      </c>
      <c r="E29" s="1">
        <f>EXP(1/10*LN(E27/E17))-1</f>
        <v>-0.00039054397389615136</v>
      </c>
    </row>
    <row r="30" spans="1:5" ht="12.75">
      <c r="A30" t="s">
        <v>101</v>
      </c>
      <c r="E30" s="28">
        <f>EXP(1/9*LN(E27/E18))-1</f>
        <v>0.0015854519540006162</v>
      </c>
    </row>
    <row r="32" ht="12.75">
      <c r="A32" t="s">
        <v>469</v>
      </c>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T38"/>
  <sheetViews>
    <sheetView workbookViewId="0" topLeftCell="A1">
      <selection activeCell="E8" sqref="E8"/>
    </sheetView>
  </sheetViews>
  <sheetFormatPr defaultColWidth="9.140625" defaultRowHeight="12.75"/>
  <cols>
    <col min="1" max="15" width="9.140625" style="13" customWidth="1"/>
    <col min="17" max="17" width="9.140625" style="13" customWidth="1"/>
    <col min="18" max="18" width="24.140625" style="13" customWidth="1"/>
    <col min="19" max="19" width="19.57421875" style="13" customWidth="1"/>
    <col min="20" max="20" width="14.7109375" style="13" customWidth="1"/>
    <col min="21" max="16384" width="9.140625" style="13" customWidth="1"/>
  </cols>
  <sheetData>
    <row r="1" ht="12.75">
      <c r="A1" s="22" t="s">
        <v>448</v>
      </c>
    </row>
    <row r="2" ht="12.75">
      <c r="A2" s="22"/>
    </row>
    <row r="3" spans="1:19" ht="12.75">
      <c r="A3" s="22"/>
      <c r="C3" s="22" t="s">
        <v>49</v>
      </c>
      <c r="D3" s="22" t="s">
        <v>50</v>
      </c>
      <c r="E3" s="22" t="s">
        <v>54</v>
      </c>
      <c r="F3" s="22" t="s">
        <v>56</v>
      </c>
      <c r="G3" s="22" t="s">
        <v>59</v>
      </c>
      <c r="H3" s="22" t="s">
        <v>55</v>
      </c>
      <c r="I3" s="22" t="s">
        <v>58</v>
      </c>
      <c r="J3" s="22"/>
      <c r="K3" s="22" t="s">
        <v>51</v>
      </c>
      <c r="L3" s="22" t="s">
        <v>57</v>
      </c>
      <c r="M3" s="22" t="s">
        <v>52</v>
      </c>
      <c r="N3" s="22"/>
      <c r="O3" s="22" t="s">
        <v>53</v>
      </c>
      <c r="P3" t="s">
        <v>78</v>
      </c>
      <c r="S3" s="22"/>
    </row>
    <row r="4" spans="1:19" ht="12.75">
      <c r="A4" s="22"/>
      <c r="C4" s="22"/>
      <c r="D4" s="22"/>
      <c r="E4" s="22"/>
      <c r="F4" s="22"/>
      <c r="G4" s="22"/>
      <c r="H4" s="22"/>
      <c r="I4" s="22"/>
      <c r="J4" s="22"/>
      <c r="K4" s="22"/>
      <c r="L4" s="22"/>
      <c r="M4" s="22"/>
      <c r="N4" s="22"/>
      <c r="O4" s="22"/>
      <c r="S4" s="22"/>
    </row>
    <row r="5" spans="1:19" ht="12.75">
      <c r="A5" s="22">
        <v>1990</v>
      </c>
      <c r="C5" s="22"/>
      <c r="D5" s="22"/>
      <c r="E5" s="22"/>
      <c r="F5" s="22"/>
      <c r="G5" s="22"/>
      <c r="H5" s="22"/>
      <c r="I5" s="22"/>
      <c r="J5" s="22"/>
      <c r="K5" s="22"/>
      <c r="L5" s="22"/>
      <c r="M5" s="22"/>
      <c r="N5" s="22"/>
      <c r="O5" s="22"/>
      <c r="S5" s="22"/>
    </row>
    <row r="6" ht="12.75">
      <c r="A6" s="13">
        <v>1991</v>
      </c>
    </row>
    <row r="7" spans="1:15" ht="12.75">
      <c r="A7" s="13">
        <v>1992</v>
      </c>
      <c r="O7" s="15"/>
    </row>
    <row r="8" spans="1:20" ht="12.75">
      <c r="A8" s="13">
        <f>A7+1</f>
        <v>1993</v>
      </c>
      <c r="C8" s="19">
        <v>0.15976331360946747</v>
      </c>
      <c r="D8" s="19">
        <f aca="true" t="shared" si="0" ref="D8:D28">1-C8</f>
        <v>0.8402366863905325</v>
      </c>
      <c r="E8" s="15">
        <v>1.8669871182803957</v>
      </c>
      <c r="F8" s="15">
        <v>0.5</v>
      </c>
      <c r="G8" s="15">
        <v>0.34</v>
      </c>
      <c r="H8" s="15">
        <f>E8*(1-F8)/F8*(C8/D8)^(1-0.34)</f>
        <v>0.6242105412903128</v>
      </c>
      <c r="I8" s="15">
        <v>0.0108</v>
      </c>
      <c r="J8" s="19"/>
      <c r="K8" s="19">
        <f aca="true" t="shared" si="1" ref="K8:K28">(F8*H8*(1+I8)^(A8-1993)*C8^(G8)+(1-F8)*D8^(G8))^(1/G8)</f>
        <v>0.26734194452824545</v>
      </c>
      <c r="L8" s="19">
        <f>K8</f>
        <v>0.26734194452824545</v>
      </c>
      <c r="M8" s="19">
        <f aca="true" t="shared" si="2" ref="M8:M28">K8/L8</f>
        <v>1</v>
      </c>
      <c r="N8" s="19"/>
      <c r="O8" s="15"/>
      <c r="P8" s="15">
        <v>1.8669871182803957</v>
      </c>
      <c r="Q8" s="19"/>
      <c r="R8" s="15"/>
      <c r="S8" s="15"/>
      <c r="T8" s="15"/>
    </row>
    <row r="9" spans="1:20" ht="12.75">
      <c r="A9" s="13">
        <f aca="true" t="shared" si="3" ref="A9:A28">A8+1</f>
        <v>1994</v>
      </c>
      <c r="C9" s="19">
        <v>0.16216216216216217</v>
      </c>
      <c r="D9" s="19">
        <f t="shared" si="0"/>
        <v>0.8378378378378378</v>
      </c>
      <c r="E9" s="15">
        <v>1.8979368195283015</v>
      </c>
      <c r="F9" s="15">
        <f aca="true" t="shared" si="4" ref="F9:F28">F8</f>
        <v>0.5</v>
      </c>
      <c r="G9" s="15">
        <f aca="true" t="shared" si="5" ref="G9:G28">G8</f>
        <v>0.34</v>
      </c>
      <c r="H9" s="15">
        <f aca="true" t="shared" si="6" ref="H9:H28">H8</f>
        <v>0.6242105412903128</v>
      </c>
      <c r="I9" s="15">
        <f aca="true" t="shared" si="7" ref="I9:I28">I8</f>
        <v>0.0108</v>
      </c>
      <c r="J9" s="19"/>
      <c r="K9" s="19">
        <f t="shared" si="1"/>
        <v>0.2700698536996223</v>
      </c>
      <c r="L9" s="19">
        <f aca="true" t="shared" si="8" ref="L9:L28">L8</f>
        <v>0.26734194452824545</v>
      </c>
      <c r="M9" s="19">
        <f t="shared" si="2"/>
        <v>1.0102038203402408</v>
      </c>
      <c r="N9" s="19"/>
      <c r="O9" s="15"/>
      <c r="P9" s="15">
        <v>1.8979368195283015</v>
      </c>
      <c r="Q9" s="19"/>
      <c r="R9" s="15"/>
      <c r="S9" s="15"/>
      <c r="T9" s="15"/>
    </row>
    <row r="10" spans="1:20" ht="12.75">
      <c r="A10" s="13">
        <f t="shared" si="3"/>
        <v>1995</v>
      </c>
      <c r="C10" s="19">
        <v>0.15532879818594103</v>
      </c>
      <c r="D10" s="19">
        <f t="shared" si="0"/>
        <v>0.844671201814059</v>
      </c>
      <c r="E10" s="15">
        <v>1.858270381203828</v>
      </c>
      <c r="F10" s="15">
        <f t="shared" si="4"/>
        <v>0.5</v>
      </c>
      <c r="G10" s="15">
        <f t="shared" si="5"/>
        <v>0.34</v>
      </c>
      <c r="H10" s="15">
        <f t="shared" si="6"/>
        <v>0.6242105412903128</v>
      </c>
      <c r="I10" s="15">
        <f t="shared" si="7"/>
        <v>0.0108</v>
      </c>
      <c r="J10" s="19"/>
      <c r="K10" s="19">
        <f t="shared" si="1"/>
        <v>0.2708655029880298</v>
      </c>
      <c r="L10" s="19">
        <f t="shared" si="8"/>
        <v>0.26734194452824545</v>
      </c>
      <c r="M10" s="19">
        <f t="shared" si="2"/>
        <v>1.013179968695156</v>
      </c>
      <c r="N10" s="19"/>
      <c r="O10" s="15"/>
      <c r="P10" s="15">
        <v>1.858270381203828</v>
      </c>
      <c r="Q10" s="19"/>
      <c r="R10" s="15"/>
      <c r="S10" s="15"/>
      <c r="T10" s="15"/>
    </row>
    <row r="11" spans="1:20" ht="12.75">
      <c r="A11" s="13">
        <f t="shared" si="3"/>
        <v>1996</v>
      </c>
      <c r="C11" s="19">
        <v>0.14578587699316628</v>
      </c>
      <c r="D11" s="19">
        <f t="shared" si="0"/>
        <v>0.8542141230068337</v>
      </c>
      <c r="E11" s="15">
        <v>1.84113500808426</v>
      </c>
      <c r="F11" s="15">
        <f t="shared" si="4"/>
        <v>0.5</v>
      </c>
      <c r="G11" s="15">
        <f t="shared" si="5"/>
        <v>0.34</v>
      </c>
      <c r="H11" s="15">
        <f t="shared" si="6"/>
        <v>0.6242105412903128</v>
      </c>
      <c r="I11" s="15">
        <f t="shared" si="7"/>
        <v>0.0108</v>
      </c>
      <c r="J11" s="19"/>
      <c r="K11" s="19">
        <f t="shared" si="1"/>
        <v>0.2708475534729218</v>
      </c>
      <c r="L11" s="19">
        <f t="shared" si="8"/>
        <v>0.26734194452824545</v>
      </c>
      <c r="M11" s="19">
        <f t="shared" si="2"/>
        <v>1.0131128280332604</v>
      </c>
      <c r="N11" s="19"/>
      <c r="O11" s="15"/>
      <c r="P11" s="15">
        <v>1.84113500808426</v>
      </c>
      <c r="Q11" s="19"/>
      <c r="R11" s="15"/>
      <c r="S11" s="15"/>
      <c r="T11" s="15"/>
    </row>
    <row r="12" spans="1:20" ht="12.75">
      <c r="A12" s="13">
        <f t="shared" si="3"/>
        <v>1997</v>
      </c>
      <c r="C12" s="19">
        <v>0.15011037527593818</v>
      </c>
      <c r="D12" s="19">
        <f t="shared" si="0"/>
        <v>0.8498896247240618</v>
      </c>
      <c r="E12" s="15">
        <v>2.06036379615491</v>
      </c>
      <c r="F12" s="15">
        <f t="shared" si="4"/>
        <v>0.5</v>
      </c>
      <c r="G12" s="15">
        <f t="shared" si="5"/>
        <v>0.34</v>
      </c>
      <c r="H12" s="15">
        <f t="shared" si="6"/>
        <v>0.6242105412903128</v>
      </c>
      <c r="I12" s="15">
        <f t="shared" si="7"/>
        <v>0.0108</v>
      </c>
      <c r="J12" s="19"/>
      <c r="K12" s="19">
        <f t="shared" si="1"/>
        <v>0.27419284574075287</v>
      </c>
      <c r="L12" s="19">
        <f t="shared" si="8"/>
        <v>0.26734194452824545</v>
      </c>
      <c r="M12" s="19">
        <f t="shared" si="2"/>
        <v>1.0256259870653541</v>
      </c>
      <c r="N12" s="19"/>
      <c r="O12" s="15"/>
      <c r="P12" s="15">
        <v>2.06036379615491</v>
      </c>
      <c r="Q12" s="19"/>
      <c r="R12" s="15"/>
      <c r="S12" s="15"/>
      <c r="T12" s="15"/>
    </row>
    <row r="13" spans="1:20" ht="12.75">
      <c r="A13" s="13">
        <f t="shared" si="3"/>
        <v>1998</v>
      </c>
      <c r="C13" s="19">
        <v>0.1620421753607103</v>
      </c>
      <c r="D13" s="19">
        <f t="shared" si="0"/>
        <v>0.8379578246392897</v>
      </c>
      <c r="E13" s="15">
        <v>2.2831269944251007</v>
      </c>
      <c r="F13" s="15">
        <f t="shared" si="4"/>
        <v>0.5</v>
      </c>
      <c r="G13" s="15">
        <f t="shared" si="5"/>
        <v>0.34</v>
      </c>
      <c r="H13" s="15">
        <f t="shared" si="6"/>
        <v>0.6242105412903128</v>
      </c>
      <c r="I13" s="15">
        <f t="shared" si="7"/>
        <v>0.0108</v>
      </c>
      <c r="J13" s="19"/>
      <c r="K13" s="19">
        <f t="shared" si="1"/>
        <v>0.27939758729290803</v>
      </c>
      <c r="L13" s="19">
        <f t="shared" si="8"/>
        <v>0.26734194452824545</v>
      </c>
      <c r="M13" s="19">
        <f t="shared" si="2"/>
        <v>1.0450944680077647</v>
      </c>
      <c r="N13" s="19"/>
      <c r="O13" s="15"/>
      <c r="P13" s="15">
        <v>2.2831269944251007</v>
      </c>
      <c r="Q13" s="19"/>
      <c r="R13" s="15"/>
      <c r="S13" s="15"/>
      <c r="T13" s="15"/>
    </row>
    <row r="14" spans="1:20" ht="12.75">
      <c r="A14" s="13">
        <f t="shared" si="3"/>
        <v>1999</v>
      </c>
      <c r="C14" s="19">
        <v>0.16930022573363435</v>
      </c>
      <c r="D14" s="19">
        <f t="shared" si="0"/>
        <v>0.8306997742663657</v>
      </c>
      <c r="E14" s="15">
        <v>1.9384664714995343</v>
      </c>
      <c r="F14" s="15">
        <f t="shared" si="4"/>
        <v>0.5</v>
      </c>
      <c r="G14" s="15">
        <f t="shared" si="5"/>
        <v>0.34</v>
      </c>
      <c r="H14" s="15">
        <f t="shared" si="6"/>
        <v>0.6242105412903128</v>
      </c>
      <c r="I14" s="15">
        <f t="shared" si="7"/>
        <v>0.0108</v>
      </c>
      <c r="J14" s="19"/>
      <c r="K14" s="19">
        <f t="shared" si="1"/>
        <v>0.2834945534641071</v>
      </c>
      <c r="L14" s="19">
        <f t="shared" si="8"/>
        <v>0.26734194452824545</v>
      </c>
      <c r="M14" s="19">
        <f t="shared" si="2"/>
        <v>1.060419284240506</v>
      </c>
      <c r="N14" s="19"/>
      <c r="O14" s="15"/>
      <c r="P14" s="15">
        <v>1.9384664714995343</v>
      </c>
      <c r="Q14" s="19"/>
      <c r="R14" s="15"/>
      <c r="S14" s="15"/>
      <c r="T14" s="15"/>
    </row>
    <row r="15" spans="1:20" ht="12.75">
      <c r="A15" s="13">
        <f t="shared" si="3"/>
        <v>2000</v>
      </c>
      <c r="C15" s="19">
        <v>0.17222222222222222</v>
      </c>
      <c r="D15" s="19">
        <f t="shared" si="0"/>
        <v>0.8277777777777777</v>
      </c>
      <c r="E15" s="15">
        <v>1.8966932540167463</v>
      </c>
      <c r="F15" s="15">
        <f t="shared" si="4"/>
        <v>0.5</v>
      </c>
      <c r="G15" s="15">
        <f t="shared" si="5"/>
        <v>0.34</v>
      </c>
      <c r="H15" s="15">
        <f t="shared" si="6"/>
        <v>0.6242105412903128</v>
      </c>
      <c r="I15" s="15">
        <f t="shared" si="7"/>
        <v>0.0108</v>
      </c>
      <c r="J15" s="19"/>
      <c r="K15" s="19">
        <f t="shared" si="1"/>
        <v>0.28667639492897984</v>
      </c>
      <c r="L15" s="19">
        <f t="shared" si="8"/>
        <v>0.26734194452824545</v>
      </c>
      <c r="M15" s="19">
        <f t="shared" si="2"/>
        <v>1.0723210509852923</v>
      </c>
      <c r="N15" s="19"/>
      <c r="O15" s="15"/>
      <c r="P15" s="15">
        <v>1.8966932540167463</v>
      </c>
      <c r="Q15" s="19"/>
      <c r="R15" s="15"/>
      <c r="S15" s="15"/>
      <c r="T15" s="15"/>
    </row>
    <row r="16" spans="1:20" ht="12.75">
      <c r="A16" s="13">
        <f t="shared" si="3"/>
        <v>2001</v>
      </c>
      <c r="C16" s="19">
        <v>0.1726775956284153</v>
      </c>
      <c r="D16" s="19">
        <f t="shared" si="0"/>
        <v>0.8273224043715847</v>
      </c>
      <c r="E16" s="15">
        <v>1.920579297790927</v>
      </c>
      <c r="F16" s="15">
        <f t="shared" si="4"/>
        <v>0.5</v>
      </c>
      <c r="G16" s="15">
        <f t="shared" si="5"/>
        <v>0.34</v>
      </c>
      <c r="H16" s="15">
        <f t="shared" si="6"/>
        <v>0.6242105412903128</v>
      </c>
      <c r="I16" s="15">
        <f t="shared" si="7"/>
        <v>0.0108</v>
      </c>
      <c r="J16" s="19"/>
      <c r="K16" s="19">
        <f t="shared" si="1"/>
        <v>0.28936480316677576</v>
      </c>
      <c r="L16" s="19">
        <f t="shared" si="8"/>
        <v>0.26734194452824545</v>
      </c>
      <c r="M16" s="19">
        <f t="shared" si="2"/>
        <v>1.0823771169817444</v>
      </c>
      <c r="N16" s="19"/>
      <c r="O16" s="15"/>
      <c r="P16" s="15">
        <v>1.920579297790927</v>
      </c>
      <c r="Q16" s="19"/>
      <c r="R16" s="15"/>
      <c r="S16" s="15"/>
      <c r="T16" s="15"/>
    </row>
    <row r="17" spans="1:20" ht="12.75">
      <c r="A17" s="13">
        <f t="shared" si="3"/>
        <v>2002</v>
      </c>
      <c r="C17" s="19">
        <v>0.184</v>
      </c>
      <c r="D17" s="19">
        <f t="shared" si="0"/>
        <v>0.8160000000000001</v>
      </c>
      <c r="E17" s="15">
        <v>2.047016999888647</v>
      </c>
      <c r="F17" s="15">
        <f t="shared" si="4"/>
        <v>0.5</v>
      </c>
      <c r="G17" s="15">
        <f t="shared" si="5"/>
        <v>0.34</v>
      </c>
      <c r="H17" s="15">
        <f t="shared" si="6"/>
        <v>0.6242105412903128</v>
      </c>
      <c r="I17" s="15">
        <f t="shared" si="7"/>
        <v>0.0108</v>
      </c>
      <c r="J17" s="19"/>
      <c r="K17" s="19">
        <f t="shared" si="1"/>
        <v>0.2945333673534461</v>
      </c>
      <c r="L17" s="19">
        <f t="shared" si="8"/>
        <v>0.26734194452824545</v>
      </c>
      <c r="M17" s="19">
        <f t="shared" si="2"/>
        <v>1.1017102754795285</v>
      </c>
      <c r="N17" s="19"/>
      <c r="O17" s="15">
        <f>P17</f>
        <v>2.047016999888647</v>
      </c>
      <c r="P17" s="15">
        <v>2.047016999888647</v>
      </c>
      <c r="Q17" s="19"/>
      <c r="R17" s="15"/>
      <c r="S17" s="15"/>
      <c r="T17" s="15"/>
    </row>
    <row r="18" spans="1:20" ht="12.75">
      <c r="A18" s="13">
        <f t="shared" si="3"/>
        <v>2003</v>
      </c>
      <c r="B18" s="22"/>
      <c r="C18" s="1">
        <f>C17*(1+C30)</f>
        <v>0.1915883523097907</v>
      </c>
      <c r="D18" s="19">
        <f t="shared" si="0"/>
        <v>0.8084116476902092</v>
      </c>
      <c r="E18" s="19"/>
      <c r="F18" s="15">
        <f t="shared" si="4"/>
        <v>0.5</v>
      </c>
      <c r="G18" s="15">
        <f t="shared" si="5"/>
        <v>0.34</v>
      </c>
      <c r="H18" s="15">
        <f t="shared" si="6"/>
        <v>0.6242105412903128</v>
      </c>
      <c r="I18" s="15">
        <f t="shared" si="7"/>
        <v>0.0108</v>
      </c>
      <c r="J18" s="19"/>
      <c r="K18" s="19">
        <f t="shared" si="1"/>
        <v>0.29890219934511797</v>
      </c>
      <c r="L18" s="19">
        <f t="shared" si="8"/>
        <v>0.26734194452824545</v>
      </c>
      <c r="M18" s="19">
        <f t="shared" si="2"/>
        <v>1.1180520133964167</v>
      </c>
      <c r="N18" s="19"/>
      <c r="O18" s="15">
        <f aca="true" t="shared" si="9" ref="O18:O28">F18/(1-F18)*H18*(1+I18)^(A18-1993)*(C17/D17)^(G18-1)</f>
        <v>1.857458727470362</v>
      </c>
      <c r="Q18" s="19"/>
      <c r="R18" s="15"/>
      <c r="S18" s="15"/>
      <c r="T18" s="15"/>
    </row>
    <row r="19" spans="1:20" ht="12.75">
      <c r="A19" s="13">
        <f t="shared" si="3"/>
        <v>2004</v>
      </c>
      <c r="C19" s="1">
        <f>C18*(1+C30)</f>
        <v>0.19948965619989395</v>
      </c>
      <c r="D19" s="19">
        <f t="shared" si="0"/>
        <v>0.800510343800106</v>
      </c>
      <c r="E19" s="19"/>
      <c r="F19" s="15">
        <f t="shared" si="4"/>
        <v>0.5</v>
      </c>
      <c r="G19" s="15">
        <f t="shared" si="5"/>
        <v>0.34</v>
      </c>
      <c r="H19" s="15">
        <f t="shared" si="6"/>
        <v>0.6242105412903128</v>
      </c>
      <c r="I19" s="15">
        <f t="shared" si="7"/>
        <v>0.0108</v>
      </c>
      <c r="J19" s="19"/>
      <c r="K19" s="19">
        <f t="shared" si="1"/>
        <v>0.3033777802197181</v>
      </c>
      <c r="L19" s="19">
        <f t="shared" si="8"/>
        <v>0.26734194452824545</v>
      </c>
      <c r="M19" s="19">
        <f t="shared" si="2"/>
        <v>1.1347930484872544</v>
      </c>
      <c r="N19" s="19"/>
      <c r="O19" s="15">
        <f t="shared" si="9"/>
        <v>1.81686453533395</v>
      </c>
      <c r="Q19" s="19"/>
      <c r="R19" s="15"/>
      <c r="S19" s="15"/>
      <c r="T19" s="15"/>
    </row>
    <row r="20" spans="1:20" ht="12.75">
      <c r="A20" s="13">
        <f t="shared" si="3"/>
        <v>2005</v>
      </c>
      <c r="C20" s="1">
        <f>C19*(1+C30)</f>
        <v>0.2077168181205669</v>
      </c>
      <c r="D20" s="19">
        <f t="shared" si="0"/>
        <v>0.7922831818794331</v>
      </c>
      <c r="E20" s="19"/>
      <c r="F20" s="15">
        <f t="shared" si="4"/>
        <v>0.5</v>
      </c>
      <c r="G20" s="15">
        <f t="shared" si="5"/>
        <v>0.34</v>
      </c>
      <c r="H20" s="15">
        <f t="shared" si="6"/>
        <v>0.6242105412903128</v>
      </c>
      <c r="I20" s="15">
        <f t="shared" si="7"/>
        <v>0.0108</v>
      </c>
      <c r="J20" s="19"/>
      <c r="K20" s="19">
        <f t="shared" si="1"/>
        <v>0.307960882325823</v>
      </c>
      <c r="L20" s="19">
        <f t="shared" si="8"/>
        <v>0.26734194452824545</v>
      </c>
      <c r="M20" s="19">
        <f t="shared" si="2"/>
        <v>1.1519362697434337</v>
      </c>
      <c r="N20" s="19"/>
      <c r="O20" s="15">
        <f t="shared" si="9"/>
        <v>1.7765958002648645</v>
      </c>
      <c r="Q20" s="19"/>
      <c r="R20" s="15"/>
      <c r="S20" s="15"/>
      <c r="T20" s="15"/>
    </row>
    <row r="21" spans="1:20" ht="12.75">
      <c r="A21" s="13">
        <f t="shared" si="3"/>
        <v>2006</v>
      </c>
      <c r="C21" s="1">
        <f>C20*(1+C30)</f>
        <v>0.21628327679756462</v>
      </c>
      <c r="D21" s="19">
        <f t="shared" si="0"/>
        <v>0.7837167232024354</v>
      </c>
      <c r="E21" s="19"/>
      <c r="F21" s="15">
        <f t="shared" si="4"/>
        <v>0.5</v>
      </c>
      <c r="G21" s="15">
        <f t="shared" si="5"/>
        <v>0.34</v>
      </c>
      <c r="H21" s="15">
        <f t="shared" si="6"/>
        <v>0.6242105412903128</v>
      </c>
      <c r="I21" s="15">
        <f t="shared" si="7"/>
        <v>0.0108</v>
      </c>
      <c r="J21" s="19"/>
      <c r="K21" s="19">
        <f t="shared" si="1"/>
        <v>0.31265199653992737</v>
      </c>
      <c r="L21" s="19">
        <f t="shared" si="8"/>
        <v>0.26734194452824545</v>
      </c>
      <c r="M21" s="19">
        <f t="shared" si="2"/>
        <v>1.169483513302174</v>
      </c>
      <c r="N21" s="19"/>
      <c r="O21" s="15">
        <f t="shared" si="9"/>
        <v>1.7366364924145152</v>
      </c>
      <c r="Q21" s="19"/>
      <c r="R21" s="15"/>
      <c r="S21" s="15"/>
      <c r="T21" s="15"/>
    </row>
    <row r="22" spans="1:20" ht="12.75">
      <c r="A22" s="13">
        <f t="shared" si="3"/>
        <v>2007</v>
      </c>
      <c r="C22" s="1">
        <f>C21*(1+C30)</f>
        <v>0.22520302518373803</v>
      </c>
      <c r="D22" s="19">
        <f t="shared" si="0"/>
        <v>0.774796974816262</v>
      </c>
      <c r="E22" s="19"/>
      <c r="F22" s="15">
        <f t="shared" si="4"/>
        <v>0.5</v>
      </c>
      <c r="G22" s="15">
        <f t="shared" si="5"/>
        <v>0.34</v>
      </c>
      <c r="H22" s="15">
        <f t="shared" si="6"/>
        <v>0.6242105412903128</v>
      </c>
      <c r="I22" s="15">
        <f t="shared" si="7"/>
        <v>0.0108</v>
      </c>
      <c r="J22" s="19"/>
      <c r="K22" s="19">
        <f t="shared" si="1"/>
        <v>0.31745128403674594</v>
      </c>
      <c r="L22" s="19">
        <f t="shared" si="8"/>
        <v>0.26734194452824545</v>
      </c>
      <c r="M22" s="19">
        <f t="shared" si="2"/>
        <v>1.1874353820419912</v>
      </c>
      <c r="N22" s="19"/>
      <c r="O22" s="15">
        <f t="shared" si="9"/>
        <v>1.6969702877127417</v>
      </c>
      <c r="Q22" s="19"/>
      <c r="R22" s="15"/>
      <c r="S22" s="15"/>
      <c r="T22" s="15"/>
    </row>
    <row r="23" spans="1:20" ht="12.75">
      <c r="A23" s="13">
        <f t="shared" si="3"/>
        <v>2008</v>
      </c>
      <c r="C23" s="1">
        <f>C22*(1+C30)</f>
        <v>0.23449063331593845</v>
      </c>
      <c r="D23" s="19">
        <f t="shared" si="0"/>
        <v>0.7655093666840616</v>
      </c>
      <c r="E23" s="19"/>
      <c r="F23" s="15">
        <f t="shared" si="4"/>
        <v>0.5</v>
      </c>
      <c r="G23" s="15">
        <f t="shared" si="5"/>
        <v>0.34</v>
      </c>
      <c r="H23" s="15">
        <f t="shared" si="6"/>
        <v>0.6242105412903128</v>
      </c>
      <c r="I23" s="15">
        <f t="shared" si="7"/>
        <v>0.0108</v>
      </c>
      <c r="J23" s="19"/>
      <c r="K23" s="19">
        <f t="shared" si="1"/>
        <v>0.3223585210352706</v>
      </c>
      <c r="L23" s="19">
        <f t="shared" si="8"/>
        <v>0.26734194452824545</v>
      </c>
      <c r="M23" s="19">
        <f t="shared" si="2"/>
        <v>1.205791038903783</v>
      </c>
      <c r="N23" s="19"/>
      <c r="O23" s="15">
        <f t="shared" si="9"/>
        <v>1.6575805294096462</v>
      </c>
      <c r="Q23" s="19"/>
      <c r="R23" s="15"/>
      <c r="S23" s="15"/>
      <c r="T23" s="15"/>
    </row>
    <row r="24" spans="1:20" ht="12.75">
      <c r="A24" s="13">
        <f t="shared" si="3"/>
        <v>2009</v>
      </c>
      <c r="C24" s="1">
        <f>C23*(1+C30)</f>
        <v>0.244161272114565</v>
      </c>
      <c r="D24" s="19">
        <f t="shared" si="0"/>
        <v>0.755838727885435</v>
      </c>
      <c r="E24" s="19"/>
      <c r="F24" s="15">
        <f t="shared" si="4"/>
        <v>0.5</v>
      </c>
      <c r="G24" s="15">
        <f t="shared" si="5"/>
        <v>0.34</v>
      </c>
      <c r="H24" s="15">
        <f t="shared" si="6"/>
        <v>0.6242105412903128</v>
      </c>
      <c r="I24" s="15">
        <f t="shared" si="7"/>
        <v>0.0108</v>
      </c>
      <c r="J24" s="19"/>
      <c r="K24" s="19">
        <f t="shared" si="1"/>
        <v>0.3273730354300966</v>
      </c>
      <c r="L24" s="19">
        <f t="shared" si="8"/>
        <v>0.26734194452824545</v>
      </c>
      <c r="M24" s="19">
        <f t="shared" si="2"/>
        <v>1.224547969858537</v>
      </c>
      <c r="N24" s="19"/>
      <c r="O24" s="15">
        <f t="shared" si="9"/>
        <v>1.6184501853765108</v>
      </c>
      <c r="Q24" s="19"/>
      <c r="R24" s="15"/>
      <c r="S24" s="15"/>
      <c r="T24" s="15"/>
    </row>
    <row r="25" spans="1:20" ht="12.75">
      <c r="A25" s="13">
        <f t="shared" si="3"/>
        <v>2010</v>
      </c>
      <c r="C25" s="1">
        <f>C24*(1+C30)</f>
        <v>0.2542307381646302</v>
      </c>
      <c r="D25" s="19">
        <f t="shared" si="0"/>
        <v>0.7457692618353697</v>
      </c>
      <c r="E25" s="19"/>
      <c r="F25" s="15">
        <f t="shared" si="4"/>
        <v>0.5</v>
      </c>
      <c r="G25" s="15">
        <f t="shared" si="5"/>
        <v>0.34</v>
      </c>
      <c r="H25" s="15">
        <f t="shared" si="6"/>
        <v>0.6242105412903128</v>
      </c>
      <c r="I25" s="15">
        <f t="shared" si="7"/>
        <v>0.0108</v>
      </c>
      <c r="J25" s="19"/>
      <c r="K25" s="19">
        <f t="shared" si="1"/>
        <v>0.3324936340236816</v>
      </c>
      <c r="L25" s="19">
        <f t="shared" si="8"/>
        <v>0.26734194452824545</v>
      </c>
      <c r="M25" s="19">
        <f t="shared" si="2"/>
        <v>1.2437017117175666</v>
      </c>
      <c r="N25" s="19"/>
      <c r="O25" s="15">
        <f t="shared" si="9"/>
        <v>1.5795618005255214</v>
      </c>
      <c r="Q25" s="19"/>
      <c r="R25" s="15"/>
      <c r="S25" s="15"/>
      <c r="T25" s="15"/>
    </row>
    <row r="26" spans="1:20" ht="12.75">
      <c r="A26" s="13">
        <f t="shared" si="3"/>
        <v>2011</v>
      </c>
      <c r="C26" s="1">
        <f>C25*(1+C30)</f>
        <v>0.26471547951882246</v>
      </c>
      <c r="D26" s="19">
        <f t="shared" si="0"/>
        <v>0.7352845204811775</v>
      </c>
      <c r="E26" s="19"/>
      <c r="F26" s="15">
        <f t="shared" si="4"/>
        <v>0.5</v>
      </c>
      <c r="G26" s="15">
        <f t="shared" si="5"/>
        <v>0.34</v>
      </c>
      <c r="H26" s="15">
        <f t="shared" si="6"/>
        <v>0.6242105412903128</v>
      </c>
      <c r="I26" s="15">
        <f t="shared" si="7"/>
        <v>0.0108</v>
      </c>
      <c r="J26" s="19"/>
      <c r="K26" s="19">
        <f t="shared" si="1"/>
        <v>0.3377185188408379</v>
      </c>
      <c r="L26" s="19">
        <f t="shared" si="8"/>
        <v>0.26734194452824545</v>
      </c>
      <c r="M26" s="19">
        <f t="shared" si="2"/>
        <v>1.2632455391045343</v>
      </c>
      <c r="N26" s="19"/>
      <c r="O26" s="15">
        <f t="shared" si="9"/>
        <v>1.5408974435909946</v>
      </c>
      <c r="Q26" s="19"/>
      <c r="R26" s="15"/>
      <c r="S26" s="15"/>
      <c r="T26" s="15"/>
    </row>
    <row r="27" spans="1:20" ht="12.75">
      <c r="A27" s="13">
        <f t="shared" si="3"/>
        <v>2012</v>
      </c>
      <c r="C27" s="1">
        <f>C26*(1+C30)</f>
        <v>0.2756326225647138</v>
      </c>
      <c r="D27" s="19">
        <f t="shared" si="0"/>
        <v>0.7243673774352861</v>
      </c>
      <c r="E27" s="19"/>
      <c r="F27" s="15">
        <f t="shared" si="4"/>
        <v>0.5</v>
      </c>
      <c r="G27" s="15">
        <f t="shared" si="5"/>
        <v>0.34</v>
      </c>
      <c r="H27" s="15">
        <f t="shared" si="6"/>
        <v>0.6242105412903128</v>
      </c>
      <c r="I27" s="15">
        <f t="shared" si="7"/>
        <v>0.0108</v>
      </c>
      <c r="J27" s="19"/>
      <c r="K27" s="19">
        <f t="shared" si="1"/>
        <v>0.34304519072190176</v>
      </c>
      <c r="L27" s="19">
        <f t="shared" si="8"/>
        <v>0.26734194452824545</v>
      </c>
      <c r="M27" s="19">
        <f t="shared" si="2"/>
        <v>1.2831701038430132</v>
      </c>
      <c r="N27" s="19"/>
      <c r="O27" s="15">
        <f t="shared" si="9"/>
        <v>1.5024386473721776</v>
      </c>
      <c r="Q27" s="19"/>
      <c r="R27" s="15"/>
      <c r="S27" s="15"/>
      <c r="T27" s="15"/>
    </row>
    <row r="28" spans="1:20" ht="12.75">
      <c r="A28" s="13">
        <f t="shared" si="3"/>
        <v>2013</v>
      </c>
      <c r="C28" s="1">
        <v>0.287</v>
      </c>
      <c r="D28" s="19">
        <f t="shared" si="0"/>
        <v>0.7130000000000001</v>
      </c>
      <c r="E28" s="19"/>
      <c r="F28" s="15">
        <f t="shared" si="4"/>
        <v>0.5</v>
      </c>
      <c r="G28" s="15">
        <f t="shared" si="5"/>
        <v>0.34</v>
      </c>
      <c r="H28" s="15">
        <f t="shared" si="6"/>
        <v>0.6242105412903128</v>
      </c>
      <c r="I28" s="15">
        <f t="shared" si="7"/>
        <v>0.0108</v>
      </c>
      <c r="J28" s="19"/>
      <c r="K28" s="19">
        <f t="shared" si="1"/>
        <v>0.3484703380428429</v>
      </c>
      <c r="L28" s="19">
        <f t="shared" si="8"/>
        <v>0.26734194452824545</v>
      </c>
      <c r="M28" s="19">
        <f t="shared" si="2"/>
        <v>1.3034630187109528</v>
      </c>
      <c r="N28" s="19"/>
      <c r="O28" s="15">
        <f t="shared" si="9"/>
        <v>1.4641663413630603</v>
      </c>
      <c r="Q28" s="19"/>
      <c r="R28" s="15"/>
      <c r="S28" s="15"/>
      <c r="T28" s="15"/>
    </row>
    <row r="29" spans="3:20" ht="12.75">
      <c r="C29" s="19"/>
      <c r="D29" s="19"/>
      <c r="E29" s="19"/>
      <c r="F29" s="19"/>
      <c r="G29" s="19"/>
      <c r="H29" s="19"/>
      <c r="I29" s="19"/>
      <c r="J29" s="19"/>
      <c r="M29" s="19"/>
      <c r="N29" s="19"/>
      <c r="O29" s="15"/>
      <c r="Q29" s="19"/>
      <c r="R29" s="15"/>
      <c r="S29" s="15"/>
      <c r="T29" s="15"/>
    </row>
    <row r="30" spans="1:15" ht="12.75">
      <c r="A30" s="22" t="s">
        <v>385</v>
      </c>
      <c r="C30" s="13">
        <f>EXP(1/11*LN(C28/C17))-1</f>
        <v>0.041241045161906076</v>
      </c>
      <c r="H30" s="22" t="s">
        <v>77</v>
      </c>
      <c r="M30" s="19">
        <f>EXP(1/11*LN(M28/M17))-1</f>
        <v>0.01540479603469147</v>
      </c>
      <c r="O30" s="15"/>
    </row>
    <row r="31" spans="1:15" ht="12.75">
      <c r="A31" s="22"/>
      <c r="H31" s="22" t="s">
        <v>234</v>
      </c>
      <c r="M31" s="13">
        <f>EXP(1/9*LN(M17/M8))-1</f>
        <v>0.010820766477556143</v>
      </c>
      <c r="O31" s="15"/>
    </row>
    <row r="32" spans="1:15" ht="12.75">
      <c r="A32" s="22" t="s">
        <v>386</v>
      </c>
      <c r="H32" s="22"/>
      <c r="O32" s="15"/>
    </row>
    <row r="34" spans="1:10" ht="12.75">
      <c r="A34" s="22"/>
      <c r="D34" s="19"/>
      <c r="J34" s="19"/>
    </row>
    <row r="35" spans="4:10" ht="12.75">
      <c r="D35" s="19"/>
      <c r="J35" s="19"/>
    </row>
    <row r="36" spans="3:15" ht="12.75">
      <c r="C36" s="19"/>
      <c r="D36" s="19"/>
      <c r="F36" s="19"/>
      <c r="G36" s="19"/>
      <c r="H36" s="19"/>
      <c r="I36" s="19"/>
      <c r="K36" s="19"/>
      <c r="L36" s="19"/>
      <c r="M36" s="19"/>
      <c r="N36" s="19"/>
      <c r="O36" s="15"/>
    </row>
    <row r="37" spans="4:10" ht="12.75">
      <c r="D37" s="19"/>
      <c r="J37" s="19"/>
    </row>
    <row r="38" spans="4:14" ht="12.75">
      <c r="D38" s="19"/>
      <c r="H38" s="22"/>
      <c r="J38" s="19"/>
      <c r="M38" s="19"/>
      <c r="N38" s="19"/>
    </row>
  </sheetData>
  <printOptions/>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T38"/>
  <sheetViews>
    <sheetView workbookViewId="0" topLeftCell="A1">
      <selection activeCell="N22" sqref="N22"/>
    </sheetView>
  </sheetViews>
  <sheetFormatPr defaultColWidth="9.140625" defaultRowHeight="12.75"/>
  <cols>
    <col min="1" max="15" width="9.140625" style="13" customWidth="1"/>
    <col min="17" max="17" width="9.140625" style="13" customWidth="1"/>
    <col min="18" max="18" width="24.140625" style="13" customWidth="1"/>
    <col min="19" max="19" width="19.57421875" style="13" customWidth="1"/>
    <col min="20" max="20" width="14.7109375" style="13" customWidth="1"/>
    <col min="21" max="16384" width="9.140625" style="13" customWidth="1"/>
  </cols>
  <sheetData>
    <row r="1" ht="12.75">
      <c r="A1" s="22" t="s">
        <v>450</v>
      </c>
    </row>
    <row r="2" ht="12.75">
      <c r="A2" s="22"/>
    </row>
    <row r="3" spans="1:19" ht="12.75">
      <c r="A3" s="22"/>
      <c r="C3" s="22" t="s">
        <v>49</v>
      </c>
      <c r="D3" s="22" t="s">
        <v>50</v>
      </c>
      <c r="E3" s="22" t="s">
        <v>54</v>
      </c>
      <c r="F3" s="22" t="s">
        <v>56</v>
      </c>
      <c r="G3" s="22" t="s">
        <v>59</v>
      </c>
      <c r="H3" s="22" t="s">
        <v>55</v>
      </c>
      <c r="I3" s="22" t="s">
        <v>58</v>
      </c>
      <c r="J3" s="22"/>
      <c r="K3" s="22" t="s">
        <v>51</v>
      </c>
      <c r="L3" s="22" t="s">
        <v>57</v>
      </c>
      <c r="M3" s="22" t="s">
        <v>52</v>
      </c>
      <c r="N3" s="22"/>
      <c r="O3" s="22" t="s">
        <v>53</v>
      </c>
      <c r="P3" t="s">
        <v>78</v>
      </c>
      <c r="S3" s="22"/>
    </row>
    <row r="4" spans="1:19" ht="12.75">
      <c r="A4" s="22"/>
      <c r="C4" s="22"/>
      <c r="D4" s="22"/>
      <c r="E4" s="22"/>
      <c r="F4" s="22"/>
      <c r="G4" s="22"/>
      <c r="H4" s="22"/>
      <c r="I4" s="22"/>
      <c r="J4" s="22"/>
      <c r="K4" s="22"/>
      <c r="L4" s="22"/>
      <c r="M4" s="22"/>
      <c r="N4" s="22"/>
      <c r="O4" s="22"/>
      <c r="S4" s="22"/>
    </row>
    <row r="5" spans="1:19" ht="12.75">
      <c r="A5" s="22">
        <v>1990</v>
      </c>
      <c r="C5" s="22"/>
      <c r="D5" s="22"/>
      <c r="E5" s="22"/>
      <c r="F5" s="22"/>
      <c r="G5" s="22"/>
      <c r="H5" s="22"/>
      <c r="I5" s="22"/>
      <c r="J5" s="22"/>
      <c r="K5" s="22"/>
      <c r="L5" s="22"/>
      <c r="M5" s="22"/>
      <c r="N5" s="22"/>
      <c r="O5" s="22"/>
      <c r="S5" s="22"/>
    </row>
    <row r="6" ht="12.75">
      <c r="A6" s="13">
        <v>1991</v>
      </c>
    </row>
    <row r="7" spans="1:15" ht="12.75">
      <c r="A7" s="13">
        <v>1992</v>
      </c>
      <c r="O7" s="15"/>
    </row>
    <row r="8" spans="1:20" ht="12.75">
      <c r="A8" s="13">
        <f aca="true" t="shared" si="0" ref="A8:A28">A7+1</f>
        <v>1993</v>
      </c>
      <c r="C8" s="19">
        <v>0.15976331360946747</v>
      </c>
      <c r="D8" s="19">
        <f aca="true" t="shared" si="1" ref="D8:D28">1-C8</f>
        <v>0.8402366863905325</v>
      </c>
      <c r="E8" s="15">
        <v>1.8669871182803957</v>
      </c>
      <c r="F8" s="15">
        <v>0.5</v>
      </c>
      <c r="G8" s="15">
        <v>0.34</v>
      </c>
      <c r="H8" s="15">
        <f>E8*(1-F8)/F8*(C8/D8)^(1-0.34)</f>
        <v>0.6242105412903128</v>
      </c>
      <c r="I8" s="15">
        <v>0.0228</v>
      </c>
      <c r="J8" s="19"/>
      <c r="K8" s="19">
        <f aca="true" t="shared" si="2" ref="K8:K28">(F8*H8*(1+I8)^(A8-1993)*C8^(G8)+(1-F8)*D8^(G8))^(1/G8)</f>
        <v>0.26734194452824545</v>
      </c>
      <c r="L8" s="19">
        <f>K8</f>
        <v>0.26734194452824545</v>
      </c>
      <c r="M8" s="19">
        <f aca="true" t="shared" si="3" ref="M8:M28">K8/L8</f>
        <v>1</v>
      </c>
      <c r="N8" s="19"/>
      <c r="O8" s="15"/>
      <c r="P8" s="15">
        <v>1.8669871182803957</v>
      </c>
      <c r="Q8" s="19"/>
      <c r="R8" s="15"/>
      <c r="S8" s="15"/>
      <c r="T8" s="15"/>
    </row>
    <row r="9" spans="1:20" ht="12.75">
      <c r="A9" s="13">
        <f t="shared" si="0"/>
        <v>1994</v>
      </c>
      <c r="C9" s="19">
        <v>0.16216216216216217</v>
      </c>
      <c r="D9" s="19">
        <f t="shared" si="1"/>
        <v>0.8378378378378378</v>
      </c>
      <c r="E9" s="15">
        <v>1.8979368195283015</v>
      </c>
      <c r="F9" s="15">
        <f aca="true" t="shared" si="4" ref="F9:F28">F8</f>
        <v>0.5</v>
      </c>
      <c r="G9" s="15">
        <f aca="true" t="shared" si="5" ref="G9:G28">G8</f>
        <v>0.34</v>
      </c>
      <c r="H9" s="15">
        <f aca="true" t="shared" si="6" ref="H9:H28">H8</f>
        <v>0.6242105412903128</v>
      </c>
      <c r="I9" s="15">
        <f aca="true" t="shared" si="7" ref="I9:I28">I8</f>
        <v>0.0228</v>
      </c>
      <c r="J9" s="19"/>
      <c r="K9" s="19">
        <f t="shared" si="2"/>
        <v>0.2725787755117828</v>
      </c>
      <c r="L9" s="19">
        <f aca="true" t="shared" si="8" ref="L9:L28">L8</f>
        <v>0.26734194452824545</v>
      </c>
      <c r="M9" s="19">
        <f t="shared" si="3"/>
        <v>1.019588512355509</v>
      </c>
      <c r="N9" s="19"/>
      <c r="O9" s="15"/>
      <c r="P9" s="15">
        <v>1.8979368195283015</v>
      </c>
      <c r="Q9" s="19"/>
      <c r="R9" s="15"/>
      <c r="S9" s="15"/>
      <c r="T9" s="15"/>
    </row>
    <row r="10" spans="1:20" ht="12.75">
      <c r="A10" s="13">
        <f t="shared" si="0"/>
        <v>1995</v>
      </c>
      <c r="C10" s="19">
        <v>0.15532879818594103</v>
      </c>
      <c r="D10" s="19">
        <f t="shared" si="1"/>
        <v>0.844671201814059</v>
      </c>
      <c r="E10" s="15">
        <v>1.858270381203828</v>
      </c>
      <c r="F10" s="15">
        <f t="shared" si="4"/>
        <v>0.5</v>
      </c>
      <c r="G10" s="15">
        <f t="shared" si="5"/>
        <v>0.34</v>
      </c>
      <c r="H10" s="15">
        <f t="shared" si="6"/>
        <v>0.6242105412903128</v>
      </c>
      <c r="I10" s="15">
        <f t="shared" si="7"/>
        <v>0.0228</v>
      </c>
      <c r="J10" s="19"/>
      <c r="K10" s="19">
        <f t="shared" si="2"/>
        <v>0.2759187043402688</v>
      </c>
      <c r="L10" s="19">
        <f t="shared" si="8"/>
        <v>0.26734194452824545</v>
      </c>
      <c r="M10" s="19">
        <f t="shared" si="3"/>
        <v>1.0320816092931397</v>
      </c>
      <c r="N10" s="19"/>
      <c r="O10" s="15"/>
      <c r="P10" s="15">
        <v>1.858270381203828</v>
      </c>
      <c r="Q10" s="19"/>
      <c r="R10" s="15"/>
      <c r="S10" s="15"/>
      <c r="T10" s="15"/>
    </row>
    <row r="11" spans="1:20" ht="12.75">
      <c r="A11" s="13">
        <f t="shared" si="0"/>
        <v>1996</v>
      </c>
      <c r="C11" s="19">
        <v>0.14578587699316628</v>
      </c>
      <c r="D11" s="19">
        <f t="shared" si="1"/>
        <v>0.8542141230068337</v>
      </c>
      <c r="E11" s="15">
        <v>1.84113500808426</v>
      </c>
      <c r="F11" s="15">
        <f t="shared" si="4"/>
        <v>0.5</v>
      </c>
      <c r="G11" s="15">
        <f t="shared" si="5"/>
        <v>0.34</v>
      </c>
      <c r="H11" s="15">
        <f t="shared" si="6"/>
        <v>0.6242105412903128</v>
      </c>
      <c r="I11" s="15">
        <f t="shared" si="7"/>
        <v>0.0228</v>
      </c>
      <c r="J11" s="19"/>
      <c r="K11" s="19">
        <f t="shared" si="2"/>
        <v>0.2784127960532151</v>
      </c>
      <c r="L11" s="19">
        <f t="shared" si="8"/>
        <v>0.26734194452824545</v>
      </c>
      <c r="M11" s="19">
        <f t="shared" si="3"/>
        <v>1.0414108289086677</v>
      </c>
      <c r="N11" s="19"/>
      <c r="O11" s="15"/>
      <c r="P11" s="15">
        <v>1.84113500808426</v>
      </c>
      <c r="Q11" s="19"/>
      <c r="R11" s="15"/>
      <c r="S11" s="15"/>
      <c r="T11" s="15"/>
    </row>
    <row r="12" spans="1:20" ht="12.75">
      <c r="A12" s="13">
        <f t="shared" si="0"/>
        <v>1997</v>
      </c>
      <c r="C12" s="19">
        <v>0.15011037527593818</v>
      </c>
      <c r="D12" s="19">
        <f t="shared" si="1"/>
        <v>0.8498896247240618</v>
      </c>
      <c r="E12" s="15">
        <v>2.06036379615491</v>
      </c>
      <c r="F12" s="15">
        <f t="shared" si="4"/>
        <v>0.5</v>
      </c>
      <c r="G12" s="15">
        <f t="shared" si="5"/>
        <v>0.34</v>
      </c>
      <c r="H12" s="15">
        <f t="shared" si="6"/>
        <v>0.6242105412903128</v>
      </c>
      <c r="I12" s="15">
        <f t="shared" si="7"/>
        <v>0.0228</v>
      </c>
      <c r="J12" s="19"/>
      <c r="K12" s="19">
        <f t="shared" si="2"/>
        <v>0.2846708608615593</v>
      </c>
      <c r="L12" s="19">
        <f t="shared" si="8"/>
        <v>0.26734194452824545</v>
      </c>
      <c r="M12" s="19">
        <f t="shared" si="3"/>
        <v>1.0648192948693205</v>
      </c>
      <c r="N12" s="19"/>
      <c r="O12" s="15"/>
      <c r="P12" s="15">
        <v>2.06036379615491</v>
      </c>
      <c r="Q12" s="19"/>
      <c r="R12" s="15"/>
      <c r="S12" s="15"/>
      <c r="T12" s="15"/>
    </row>
    <row r="13" spans="1:20" ht="12.75">
      <c r="A13" s="13">
        <f t="shared" si="0"/>
        <v>1998</v>
      </c>
      <c r="C13" s="19">
        <v>0.1620421753607103</v>
      </c>
      <c r="D13" s="19">
        <f t="shared" si="1"/>
        <v>0.8379578246392897</v>
      </c>
      <c r="E13" s="15">
        <v>2.2831269944251007</v>
      </c>
      <c r="F13" s="15">
        <f t="shared" si="4"/>
        <v>0.5</v>
      </c>
      <c r="G13" s="15">
        <f t="shared" si="5"/>
        <v>0.34</v>
      </c>
      <c r="H13" s="15">
        <f t="shared" si="6"/>
        <v>0.6242105412903128</v>
      </c>
      <c r="I13" s="15">
        <f t="shared" si="7"/>
        <v>0.0228</v>
      </c>
      <c r="J13" s="19"/>
      <c r="K13" s="19">
        <f t="shared" si="2"/>
        <v>0.2932880808619538</v>
      </c>
      <c r="L13" s="19">
        <f t="shared" si="8"/>
        <v>0.26734194452824545</v>
      </c>
      <c r="M13" s="19">
        <f t="shared" si="3"/>
        <v>1.0970522466255461</v>
      </c>
      <c r="N13" s="19"/>
      <c r="O13" s="15"/>
      <c r="P13" s="15">
        <v>2.2831269944251007</v>
      </c>
      <c r="Q13" s="19"/>
      <c r="R13" s="15"/>
      <c r="S13" s="15"/>
      <c r="T13" s="15"/>
    </row>
    <row r="14" spans="1:20" ht="12.75">
      <c r="A14" s="13">
        <f t="shared" si="0"/>
        <v>1999</v>
      </c>
      <c r="C14" s="19">
        <v>0.16930022573363435</v>
      </c>
      <c r="D14" s="19">
        <f t="shared" si="1"/>
        <v>0.8306997742663657</v>
      </c>
      <c r="E14" s="15">
        <v>1.9384664714995343</v>
      </c>
      <c r="F14" s="15">
        <f t="shared" si="4"/>
        <v>0.5</v>
      </c>
      <c r="G14" s="15">
        <f t="shared" si="5"/>
        <v>0.34</v>
      </c>
      <c r="H14" s="15">
        <f t="shared" si="6"/>
        <v>0.6242105412903128</v>
      </c>
      <c r="I14" s="15">
        <f t="shared" si="7"/>
        <v>0.0228</v>
      </c>
      <c r="J14" s="19"/>
      <c r="K14" s="19">
        <f t="shared" si="2"/>
        <v>0.30092933017671136</v>
      </c>
      <c r="L14" s="19">
        <f t="shared" si="8"/>
        <v>0.26734194452824545</v>
      </c>
      <c r="M14" s="19">
        <f t="shared" si="3"/>
        <v>1.1256345528111371</v>
      </c>
      <c r="N14" s="19"/>
      <c r="O14" s="15"/>
      <c r="P14" s="15">
        <v>1.9384664714995343</v>
      </c>
      <c r="Q14" s="19"/>
      <c r="R14" s="15"/>
      <c r="S14" s="15"/>
      <c r="T14" s="15"/>
    </row>
    <row r="15" spans="1:20" ht="12.75">
      <c r="A15" s="13">
        <f t="shared" si="0"/>
        <v>2000</v>
      </c>
      <c r="C15" s="19">
        <v>0.17222222222222222</v>
      </c>
      <c r="D15" s="19">
        <f t="shared" si="1"/>
        <v>0.8277777777777777</v>
      </c>
      <c r="E15" s="15">
        <v>1.8966932540167463</v>
      </c>
      <c r="F15" s="15">
        <f t="shared" si="4"/>
        <v>0.5</v>
      </c>
      <c r="G15" s="15">
        <f t="shared" si="5"/>
        <v>0.34</v>
      </c>
      <c r="H15" s="15">
        <f t="shared" si="6"/>
        <v>0.6242105412903128</v>
      </c>
      <c r="I15" s="15">
        <f t="shared" si="7"/>
        <v>0.0228</v>
      </c>
      <c r="J15" s="19"/>
      <c r="K15" s="19">
        <f t="shared" si="2"/>
        <v>0.3077126375362537</v>
      </c>
      <c r="L15" s="19">
        <f t="shared" si="8"/>
        <v>0.26734194452824545</v>
      </c>
      <c r="M15" s="19">
        <f t="shared" si="3"/>
        <v>1.1510077031842005</v>
      </c>
      <c r="N15" s="19"/>
      <c r="O15" s="15"/>
      <c r="P15" s="15">
        <v>1.8966932540167463</v>
      </c>
      <c r="Q15" s="19"/>
      <c r="R15" s="15"/>
      <c r="S15" s="15"/>
      <c r="T15" s="15"/>
    </row>
    <row r="16" spans="1:20" ht="12.75">
      <c r="A16" s="13">
        <f t="shared" si="0"/>
        <v>2001</v>
      </c>
      <c r="C16" s="19">
        <v>0.1726775956284153</v>
      </c>
      <c r="D16" s="19">
        <f t="shared" si="1"/>
        <v>0.8273224043715847</v>
      </c>
      <c r="E16" s="15">
        <v>1.920579297790927</v>
      </c>
      <c r="F16" s="15">
        <f t="shared" si="4"/>
        <v>0.5</v>
      </c>
      <c r="G16" s="15">
        <f t="shared" si="5"/>
        <v>0.34</v>
      </c>
      <c r="H16" s="15">
        <f t="shared" si="6"/>
        <v>0.6242105412903128</v>
      </c>
      <c r="I16" s="15">
        <f t="shared" si="7"/>
        <v>0.0228</v>
      </c>
      <c r="J16" s="19"/>
      <c r="K16" s="19">
        <f t="shared" si="2"/>
        <v>0.31407719808974544</v>
      </c>
      <c r="L16" s="19">
        <f t="shared" si="8"/>
        <v>0.26734194452824545</v>
      </c>
      <c r="M16" s="19">
        <f t="shared" si="3"/>
        <v>1.1748145194498736</v>
      </c>
      <c r="N16" s="19"/>
      <c r="O16" s="15"/>
      <c r="P16" s="15">
        <v>1.920579297790927</v>
      </c>
      <c r="Q16" s="19"/>
      <c r="R16" s="15"/>
      <c r="S16" s="15"/>
      <c r="T16" s="15"/>
    </row>
    <row r="17" spans="1:20" ht="12.75">
      <c r="A17" s="13">
        <f t="shared" si="0"/>
        <v>2002</v>
      </c>
      <c r="C17" s="19">
        <v>0.184</v>
      </c>
      <c r="D17" s="19">
        <f t="shared" si="1"/>
        <v>0.8160000000000001</v>
      </c>
      <c r="E17" s="15">
        <v>2.047016999888647</v>
      </c>
      <c r="F17" s="15">
        <f t="shared" si="4"/>
        <v>0.5</v>
      </c>
      <c r="G17" s="15">
        <f t="shared" si="5"/>
        <v>0.34</v>
      </c>
      <c r="H17" s="15">
        <f t="shared" si="6"/>
        <v>0.6242105412903128</v>
      </c>
      <c r="I17" s="15">
        <f t="shared" si="7"/>
        <v>0.0228</v>
      </c>
      <c r="J17" s="19"/>
      <c r="K17" s="19">
        <f t="shared" si="2"/>
        <v>0.3238895272225512</v>
      </c>
      <c r="L17" s="19">
        <f t="shared" si="8"/>
        <v>0.26734194452824545</v>
      </c>
      <c r="M17" s="19">
        <f t="shared" si="3"/>
        <v>1.2115178102489315</v>
      </c>
      <c r="N17" s="19"/>
      <c r="O17" s="15">
        <f>P17</f>
        <v>2.047016999888647</v>
      </c>
      <c r="P17" s="15">
        <v>2.047016999888647</v>
      </c>
      <c r="Q17" s="19"/>
      <c r="R17" s="15"/>
      <c r="S17" s="15"/>
      <c r="T17" s="15"/>
    </row>
    <row r="18" spans="1:20" ht="12.75">
      <c r="A18" s="13">
        <f t="shared" si="0"/>
        <v>2003</v>
      </c>
      <c r="B18" s="22"/>
      <c r="C18" s="1">
        <f>C17*(1+C30)</f>
        <v>0.1915883523097907</v>
      </c>
      <c r="D18" s="19">
        <f t="shared" si="1"/>
        <v>0.8084116476902092</v>
      </c>
      <c r="E18" s="19"/>
      <c r="F18" s="15">
        <f t="shared" si="4"/>
        <v>0.5</v>
      </c>
      <c r="G18" s="15">
        <f t="shared" si="5"/>
        <v>0.34</v>
      </c>
      <c r="H18" s="15">
        <f t="shared" si="6"/>
        <v>0.6242105412903128</v>
      </c>
      <c r="I18" s="15">
        <f t="shared" si="7"/>
        <v>0.0228</v>
      </c>
      <c r="J18" s="19"/>
      <c r="K18" s="19">
        <f t="shared" si="2"/>
        <v>0.33300827858093174</v>
      </c>
      <c r="L18" s="19">
        <f t="shared" si="8"/>
        <v>0.26734194452824545</v>
      </c>
      <c r="M18" s="19">
        <f t="shared" si="3"/>
        <v>1.2456267540380237</v>
      </c>
      <c r="N18" s="19"/>
      <c r="O18" s="15">
        <f aca="true" t="shared" si="9" ref="O18:O28">F18/(1-F18)*H18*(1+I18)^(A18-1993)*(C17/D17)^(G18-1)</f>
        <v>2.0901335364961473</v>
      </c>
      <c r="Q18" s="19"/>
      <c r="R18" s="15"/>
      <c r="S18" s="15"/>
      <c r="T18" s="15"/>
    </row>
    <row r="19" spans="1:20" ht="12.75">
      <c r="A19" s="13">
        <f t="shared" si="0"/>
        <v>2004</v>
      </c>
      <c r="C19" s="1">
        <f>C18*(1+C30)</f>
        <v>0.19948965619989395</v>
      </c>
      <c r="D19" s="19">
        <f t="shared" si="1"/>
        <v>0.800510343800106</v>
      </c>
      <c r="E19" s="19"/>
      <c r="F19" s="15">
        <f t="shared" si="4"/>
        <v>0.5</v>
      </c>
      <c r="G19" s="15">
        <f t="shared" si="5"/>
        <v>0.34</v>
      </c>
      <c r="H19" s="15">
        <f t="shared" si="6"/>
        <v>0.6242105412903128</v>
      </c>
      <c r="I19" s="15">
        <f t="shared" si="7"/>
        <v>0.0228</v>
      </c>
      <c r="J19" s="19"/>
      <c r="K19" s="19">
        <f t="shared" si="2"/>
        <v>0.3426178629716897</v>
      </c>
      <c r="L19" s="19">
        <f t="shared" si="8"/>
        <v>0.26734194452824545</v>
      </c>
      <c r="M19" s="19">
        <f t="shared" si="3"/>
        <v>1.2815716724746542</v>
      </c>
      <c r="N19" s="19"/>
      <c r="O19" s="15">
        <f t="shared" si="9"/>
        <v>2.0687256290231244</v>
      </c>
      <c r="Q19" s="19"/>
      <c r="R19" s="15"/>
      <c r="S19" s="15"/>
      <c r="T19" s="15"/>
    </row>
    <row r="20" spans="1:20" ht="12.75">
      <c r="A20" s="13">
        <f t="shared" si="0"/>
        <v>2005</v>
      </c>
      <c r="C20" s="1">
        <f>C19*(1+C30)</f>
        <v>0.2077168181205669</v>
      </c>
      <c r="D20" s="19">
        <f t="shared" si="1"/>
        <v>0.7922831818794331</v>
      </c>
      <c r="E20" s="19"/>
      <c r="F20" s="15">
        <f t="shared" si="4"/>
        <v>0.5</v>
      </c>
      <c r="G20" s="15">
        <f t="shared" si="5"/>
        <v>0.34</v>
      </c>
      <c r="H20" s="15">
        <f t="shared" si="6"/>
        <v>0.6242105412903128</v>
      </c>
      <c r="I20" s="15">
        <f t="shared" si="7"/>
        <v>0.0228</v>
      </c>
      <c r="J20" s="19"/>
      <c r="K20" s="19">
        <f t="shared" si="2"/>
        <v>0.35274820154708325</v>
      </c>
      <c r="L20" s="19">
        <f t="shared" si="8"/>
        <v>0.26734194452824545</v>
      </c>
      <c r="M20" s="19">
        <f t="shared" si="3"/>
        <v>1.3194644864633818</v>
      </c>
      <c r="N20" s="19"/>
      <c r="O20" s="15">
        <f t="shared" si="9"/>
        <v>2.0468898121171355</v>
      </c>
      <c r="Q20" s="19"/>
      <c r="R20" s="15"/>
      <c r="S20" s="15"/>
      <c r="T20" s="15"/>
    </row>
    <row r="21" spans="1:20" ht="12.75">
      <c r="A21" s="13">
        <f t="shared" si="0"/>
        <v>2006</v>
      </c>
      <c r="C21" s="1">
        <f>C20*(1+C30)</f>
        <v>0.21628327679756462</v>
      </c>
      <c r="D21" s="19">
        <f t="shared" si="1"/>
        <v>0.7837167232024354</v>
      </c>
      <c r="E21" s="19"/>
      <c r="F21" s="15">
        <f t="shared" si="4"/>
        <v>0.5</v>
      </c>
      <c r="G21" s="15">
        <f t="shared" si="5"/>
        <v>0.34</v>
      </c>
      <c r="H21" s="15">
        <f t="shared" si="6"/>
        <v>0.6242105412903128</v>
      </c>
      <c r="I21" s="15">
        <f t="shared" si="7"/>
        <v>0.0228</v>
      </c>
      <c r="J21" s="19"/>
      <c r="K21" s="19">
        <f t="shared" si="2"/>
        <v>0.3634311631754964</v>
      </c>
      <c r="L21" s="19">
        <f t="shared" si="8"/>
        <v>0.26734194452824545</v>
      </c>
      <c r="M21" s="19">
        <f t="shared" si="3"/>
        <v>1.3594244023952584</v>
      </c>
      <c r="N21" s="19"/>
      <c r="O21" s="15">
        <f t="shared" si="9"/>
        <v>2.024604706579544</v>
      </c>
      <c r="Q21" s="19"/>
      <c r="R21" s="15"/>
      <c r="S21" s="15"/>
      <c r="T21" s="15"/>
    </row>
    <row r="22" spans="1:20" ht="12.75">
      <c r="A22" s="13">
        <f t="shared" si="0"/>
        <v>2007</v>
      </c>
      <c r="C22" s="1">
        <f>C21*(1+C30)</f>
        <v>0.22520302518373803</v>
      </c>
      <c r="D22" s="19">
        <f t="shared" si="1"/>
        <v>0.774796974816262</v>
      </c>
      <c r="E22" s="19"/>
      <c r="F22" s="15">
        <f t="shared" si="4"/>
        <v>0.5</v>
      </c>
      <c r="G22" s="15">
        <f t="shared" si="5"/>
        <v>0.34</v>
      </c>
      <c r="H22" s="15">
        <f t="shared" si="6"/>
        <v>0.6242105412903128</v>
      </c>
      <c r="I22" s="15">
        <f t="shared" si="7"/>
        <v>0.0228</v>
      </c>
      <c r="J22" s="19"/>
      <c r="K22" s="19">
        <f t="shared" si="2"/>
        <v>0.37470068229213516</v>
      </c>
      <c r="L22" s="19">
        <f t="shared" si="8"/>
        <v>0.26734194452824545</v>
      </c>
      <c r="M22" s="19">
        <f t="shared" si="3"/>
        <v>1.401578352971645</v>
      </c>
      <c r="N22" s="19"/>
      <c r="O22" s="15">
        <f t="shared" si="9"/>
        <v>2.001847747951764</v>
      </c>
      <c r="Q22" s="19"/>
      <c r="R22" s="15"/>
      <c r="S22" s="15"/>
      <c r="T22" s="15"/>
    </row>
    <row r="23" spans="1:20" ht="12.75">
      <c r="A23" s="13">
        <f t="shared" si="0"/>
        <v>2008</v>
      </c>
      <c r="C23" s="1">
        <f>C22*(1+C30)</f>
        <v>0.23449063331593845</v>
      </c>
      <c r="D23" s="19">
        <f t="shared" si="1"/>
        <v>0.7655093666840616</v>
      </c>
      <c r="E23" s="19"/>
      <c r="F23" s="15">
        <f t="shared" si="4"/>
        <v>0.5</v>
      </c>
      <c r="G23" s="15">
        <f t="shared" si="5"/>
        <v>0.34</v>
      </c>
      <c r="H23" s="15">
        <f t="shared" si="6"/>
        <v>0.6242105412903128</v>
      </c>
      <c r="I23" s="15">
        <f t="shared" si="7"/>
        <v>0.0228</v>
      </c>
      <c r="J23" s="19"/>
      <c r="K23" s="19">
        <f t="shared" si="2"/>
        <v>0.3865928800129265</v>
      </c>
      <c r="L23" s="19">
        <f t="shared" si="8"/>
        <v>0.26734194452824545</v>
      </c>
      <c r="M23" s="19">
        <f t="shared" si="3"/>
        <v>1.4460614502341285</v>
      </c>
      <c r="N23" s="19"/>
      <c r="O23" s="15">
        <f t="shared" si="9"/>
        <v>1.978595095844372</v>
      </c>
      <c r="Q23" s="19"/>
      <c r="R23" s="15"/>
      <c r="S23" s="15"/>
      <c r="T23" s="15"/>
    </row>
    <row r="24" spans="1:20" ht="12.75">
      <c r="A24" s="13">
        <f t="shared" si="0"/>
        <v>2009</v>
      </c>
      <c r="C24" s="1">
        <f>C23*(1+C30)</f>
        <v>0.244161272114565</v>
      </c>
      <c r="D24" s="19">
        <f t="shared" si="1"/>
        <v>0.755838727885435</v>
      </c>
      <c r="E24" s="19"/>
      <c r="F24" s="15">
        <f t="shared" si="4"/>
        <v>0.5</v>
      </c>
      <c r="G24" s="15">
        <f t="shared" si="5"/>
        <v>0.34</v>
      </c>
      <c r="H24" s="15">
        <f t="shared" si="6"/>
        <v>0.6242105412903128</v>
      </c>
      <c r="I24" s="15">
        <f t="shared" si="7"/>
        <v>0.0228</v>
      </c>
      <c r="J24" s="19"/>
      <c r="K24" s="19">
        <f t="shared" si="2"/>
        <v>0.3991461874618335</v>
      </c>
      <c r="L24" s="19">
        <f t="shared" si="8"/>
        <v>0.26734194452824545</v>
      </c>
      <c r="M24" s="19">
        <f t="shared" si="3"/>
        <v>1.493017446873783</v>
      </c>
      <c r="N24" s="19"/>
      <c r="O24" s="15">
        <f t="shared" si="9"/>
        <v>1.954821533567007</v>
      </c>
      <c r="Q24" s="19"/>
      <c r="R24" s="15"/>
      <c r="S24" s="15"/>
      <c r="T24" s="15"/>
    </row>
    <row r="25" spans="1:20" ht="12.75">
      <c r="A25" s="13">
        <f t="shared" si="0"/>
        <v>2010</v>
      </c>
      <c r="C25" s="1">
        <f>C24*(1+C30)</f>
        <v>0.2542307381646302</v>
      </c>
      <c r="D25" s="19">
        <f t="shared" si="1"/>
        <v>0.7457692618353697</v>
      </c>
      <c r="E25" s="19"/>
      <c r="F25" s="15">
        <f t="shared" si="4"/>
        <v>0.5</v>
      </c>
      <c r="G25" s="15">
        <f t="shared" si="5"/>
        <v>0.34</v>
      </c>
      <c r="H25" s="15">
        <f t="shared" si="6"/>
        <v>0.6242105412903128</v>
      </c>
      <c r="I25" s="15">
        <f t="shared" si="7"/>
        <v>0.0228</v>
      </c>
      <c r="J25" s="19"/>
      <c r="K25" s="19">
        <f t="shared" si="2"/>
        <v>0.4124014698716269</v>
      </c>
      <c r="L25" s="19">
        <f t="shared" si="8"/>
        <v>0.26734194452824545</v>
      </c>
      <c r="M25" s="19">
        <f t="shared" si="3"/>
        <v>1.5425992004335687</v>
      </c>
      <c r="N25" s="19"/>
      <c r="O25" s="15">
        <f t="shared" si="9"/>
        <v>1.9305003566826868</v>
      </c>
      <c r="Q25" s="19"/>
      <c r="R25" s="15"/>
      <c r="S25" s="15"/>
      <c r="T25" s="15"/>
    </row>
    <row r="26" spans="1:20" ht="12.75">
      <c r="A26" s="13">
        <f t="shared" si="0"/>
        <v>2011</v>
      </c>
      <c r="C26" s="1">
        <f>C25*(1+C30)</f>
        <v>0.26471547951882246</v>
      </c>
      <c r="D26" s="19">
        <f t="shared" si="1"/>
        <v>0.7352845204811775</v>
      </c>
      <c r="E26" s="19"/>
      <c r="F26" s="15">
        <f t="shared" si="4"/>
        <v>0.5</v>
      </c>
      <c r="G26" s="15">
        <f t="shared" si="5"/>
        <v>0.34</v>
      </c>
      <c r="H26" s="15">
        <f t="shared" si="6"/>
        <v>0.6242105412903128</v>
      </c>
      <c r="I26" s="15">
        <f t="shared" si="7"/>
        <v>0.0228</v>
      </c>
      <c r="J26" s="19"/>
      <c r="K26" s="19">
        <f t="shared" si="2"/>
        <v>0.4264021495195747</v>
      </c>
      <c r="L26" s="19">
        <f t="shared" si="8"/>
        <v>0.26734194452824545</v>
      </c>
      <c r="M26" s="19">
        <f t="shared" si="3"/>
        <v>1.594969133152707</v>
      </c>
      <c r="N26" s="19"/>
      <c r="O26" s="15">
        <f t="shared" si="9"/>
        <v>1.9056032488658845</v>
      </c>
      <c r="Q26" s="19"/>
      <c r="R26" s="15"/>
      <c r="S26" s="15"/>
      <c r="T26" s="15"/>
    </row>
    <row r="27" spans="1:20" ht="12.75">
      <c r="A27" s="13">
        <f t="shared" si="0"/>
        <v>2012</v>
      </c>
      <c r="C27" s="1">
        <f>C26*(1+C30)</f>
        <v>0.2756326225647138</v>
      </c>
      <c r="D27" s="19">
        <f t="shared" si="1"/>
        <v>0.7243673774352861</v>
      </c>
      <c r="E27" s="19"/>
      <c r="F27" s="15">
        <f t="shared" si="4"/>
        <v>0.5</v>
      </c>
      <c r="G27" s="15">
        <f t="shared" si="5"/>
        <v>0.34</v>
      </c>
      <c r="H27" s="15">
        <f t="shared" si="6"/>
        <v>0.6242105412903128</v>
      </c>
      <c r="I27" s="15">
        <f t="shared" si="7"/>
        <v>0.0228</v>
      </c>
      <c r="J27" s="19"/>
      <c r="K27" s="19">
        <f t="shared" si="2"/>
        <v>0.44119432492253124</v>
      </c>
      <c r="L27" s="19">
        <f t="shared" si="8"/>
        <v>0.26734194452824545</v>
      </c>
      <c r="M27" s="19">
        <f t="shared" si="3"/>
        <v>1.650299677819235</v>
      </c>
      <c r="N27" s="19"/>
      <c r="O27" s="15">
        <f t="shared" si="9"/>
        <v>1.8801001431471318</v>
      </c>
      <c r="Q27" s="19"/>
      <c r="R27" s="15"/>
      <c r="S27" s="15"/>
      <c r="T27" s="15"/>
    </row>
    <row r="28" spans="1:20" ht="12.75">
      <c r="A28" s="13">
        <f t="shared" si="0"/>
        <v>2013</v>
      </c>
      <c r="C28" s="1">
        <v>0.287</v>
      </c>
      <c r="D28" s="19">
        <f t="shared" si="1"/>
        <v>0.7130000000000001</v>
      </c>
      <c r="E28" s="19"/>
      <c r="F28" s="15">
        <f t="shared" si="4"/>
        <v>0.5</v>
      </c>
      <c r="G28" s="15">
        <f t="shared" si="5"/>
        <v>0.34</v>
      </c>
      <c r="H28" s="15">
        <f t="shared" si="6"/>
        <v>0.6242105412903128</v>
      </c>
      <c r="I28" s="15">
        <f t="shared" si="7"/>
        <v>0.0228</v>
      </c>
      <c r="J28" s="19"/>
      <c r="K28" s="19">
        <f t="shared" si="2"/>
        <v>0.45682688290151935</v>
      </c>
      <c r="L28" s="19">
        <f t="shared" si="8"/>
        <v>0.26734194452824545</v>
      </c>
      <c r="M28" s="19">
        <f t="shared" si="3"/>
        <v>1.7087736969507015</v>
      </c>
      <c r="N28" s="19"/>
      <c r="O28" s="15">
        <f t="shared" si="9"/>
        <v>1.8539590662649912</v>
      </c>
      <c r="Q28" s="19"/>
      <c r="R28" s="15"/>
      <c r="S28" s="15"/>
      <c r="T28" s="15"/>
    </row>
    <row r="29" spans="3:20" ht="12.75">
      <c r="C29" s="19"/>
      <c r="D29" s="19"/>
      <c r="E29" s="19"/>
      <c r="F29" s="19"/>
      <c r="G29" s="19"/>
      <c r="H29" s="19"/>
      <c r="I29" s="19"/>
      <c r="J29" s="19"/>
      <c r="M29" s="19"/>
      <c r="N29" s="19"/>
      <c r="O29" s="15"/>
      <c r="Q29" s="19"/>
      <c r="R29" s="15"/>
      <c r="S29" s="15"/>
      <c r="T29" s="15"/>
    </row>
    <row r="30" spans="1:15" ht="12.75">
      <c r="A30" s="22" t="s">
        <v>385</v>
      </c>
      <c r="C30" s="13">
        <f>EXP(1/11*LN(C28/C17))-1</f>
        <v>0.041241045161906076</v>
      </c>
      <c r="H30" s="22" t="s">
        <v>77</v>
      </c>
      <c r="M30" s="19">
        <f>EXP(1/11*LN(M28/M17))-1</f>
        <v>0.031757665804456714</v>
      </c>
      <c r="O30" s="15"/>
    </row>
    <row r="31" spans="1:15" ht="12.75">
      <c r="A31" s="22"/>
      <c r="H31" s="22" t="s">
        <v>234</v>
      </c>
      <c r="M31" s="13">
        <f>EXP(1/9*LN(M17/M8))-1</f>
        <v>0.02154820965833415</v>
      </c>
      <c r="O31" s="15"/>
    </row>
    <row r="32" spans="1:15" ht="12.75">
      <c r="A32" s="22" t="s">
        <v>386</v>
      </c>
      <c r="H32" s="22"/>
      <c r="O32" s="15"/>
    </row>
    <row r="34" spans="1:10" ht="12.75">
      <c r="A34" s="22"/>
      <c r="D34" s="19"/>
      <c r="J34" s="19"/>
    </row>
    <row r="35" spans="4:10" ht="12.75">
      <c r="D35" s="19"/>
      <c r="J35" s="19"/>
    </row>
    <row r="36" spans="3:15" ht="12.75">
      <c r="C36" s="19"/>
      <c r="D36" s="19"/>
      <c r="F36" s="19"/>
      <c r="G36" s="19"/>
      <c r="H36" s="19"/>
      <c r="I36" s="19"/>
      <c r="K36" s="19"/>
      <c r="L36" s="19"/>
      <c r="M36" s="19"/>
      <c r="N36" s="19"/>
      <c r="O36" s="15"/>
    </row>
    <row r="37" spans="4:10" ht="12.75">
      <c r="D37" s="19"/>
      <c r="J37" s="19"/>
    </row>
    <row r="38" spans="4:14" ht="12.75">
      <c r="D38" s="19"/>
      <c r="H38" s="22"/>
      <c r="J38" s="19"/>
      <c r="M38" s="19"/>
      <c r="N38" s="19"/>
    </row>
  </sheetData>
  <printOptions/>
  <pageMargins left="0.75" right="0.75"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pageSetUpPr fitToPage="1"/>
  </sheetPr>
  <dimension ref="A1:V148"/>
  <sheetViews>
    <sheetView workbookViewId="0" topLeftCell="A1">
      <selection activeCell="K21" sqref="K21"/>
    </sheetView>
  </sheetViews>
  <sheetFormatPr defaultColWidth="9.140625" defaultRowHeight="12.75"/>
  <cols>
    <col min="1" max="2" width="9.140625" style="13" customWidth="1"/>
    <col min="3" max="3" width="11.8515625" style="13" customWidth="1"/>
    <col min="4" max="4" width="9.140625" style="13" customWidth="1"/>
    <col min="5" max="5" width="14.57421875" style="13" customWidth="1"/>
    <col min="6" max="11" width="9.140625" style="13" customWidth="1"/>
    <col min="12" max="12" width="19.8515625" style="13" customWidth="1"/>
    <col min="13" max="13" width="16.8515625" style="13" customWidth="1"/>
    <col min="14" max="14" width="13.28125" style="13" customWidth="1"/>
    <col min="15" max="15" width="9.421875" style="13" customWidth="1"/>
    <col min="16" max="16384" width="9.140625" style="13" customWidth="1"/>
  </cols>
  <sheetData>
    <row r="1" spans="1:21" ht="12.75">
      <c r="A1" s="22" t="s">
        <v>449</v>
      </c>
      <c r="U1" s="22"/>
    </row>
    <row r="2" ht="12.75">
      <c r="A2" s="22"/>
    </row>
    <row r="3" spans="1:17" ht="12.75">
      <c r="A3" s="22" t="s">
        <v>264</v>
      </c>
      <c r="J3" s="22" t="s">
        <v>71</v>
      </c>
      <c r="K3" s="22"/>
      <c r="L3" s="22"/>
      <c r="M3" s="22" t="s">
        <v>276</v>
      </c>
      <c r="Q3" s="22"/>
    </row>
    <row r="4" spans="21:22" ht="12.75">
      <c r="U4" s="20"/>
      <c r="V4" s="20"/>
    </row>
    <row r="5" spans="3:22" ht="12.75">
      <c r="C5" s="13" t="s">
        <v>44</v>
      </c>
      <c r="D5" s="13" t="s">
        <v>45</v>
      </c>
      <c r="E5" s="13" t="s">
        <v>46</v>
      </c>
      <c r="F5" s="13" t="s">
        <v>47</v>
      </c>
      <c r="G5" s="22" t="s">
        <v>26</v>
      </c>
      <c r="H5" s="22" t="s">
        <v>27</v>
      </c>
      <c r="I5" s="22"/>
      <c r="J5" s="22" t="s">
        <v>73</v>
      </c>
      <c r="K5" s="22" t="s">
        <v>261</v>
      </c>
      <c r="L5" s="22"/>
      <c r="M5" s="22" t="s">
        <v>72</v>
      </c>
      <c r="N5" s="22" t="s">
        <v>48</v>
      </c>
      <c r="O5" s="22" t="s">
        <v>51</v>
      </c>
      <c r="U5" s="20"/>
      <c r="V5" s="20"/>
    </row>
    <row r="6" spans="21:22" ht="12.75">
      <c r="U6" s="20"/>
      <c r="V6" s="20"/>
    </row>
    <row r="7" spans="1:22" ht="12.75">
      <c r="A7" s="13">
        <v>1993</v>
      </c>
      <c r="C7" s="10">
        <v>2164094.5580999996</v>
      </c>
      <c r="D7" s="15">
        <v>886.7661316098731</v>
      </c>
      <c r="E7" s="16">
        <v>3676171260.4204464</v>
      </c>
      <c r="F7" s="19">
        <v>1</v>
      </c>
      <c r="G7" s="15">
        <v>0.7</v>
      </c>
      <c r="H7" s="15">
        <f aca="true" t="shared" si="0" ref="H7:H16">1-G7</f>
        <v>0.30000000000000004</v>
      </c>
      <c r="J7" s="17"/>
      <c r="K7" s="17">
        <v>1</v>
      </c>
      <c r="L7" s="17"/>
      <c r="M7" s="18"/>
      <c r="Q7" s="20"/>
      <c r="R7" s="20"/>
      <c r="S7" s="20"/>
      <c r="U7" s="20"/>
      <c r="V7" s="20"/>
    </row>
    <row r="8" spans="1:22" ht="12.75">
      <c r="A8" s="13">
        <f aca="true" t="shared" si="1" ref="A8:A16">A7+1</f>
        <v>1994</v>
      </c>
      <c r="C8" s="10">
        <v>2279186.31</v>
      </c>
      <c r="D8" s="15">
        <v>883.2190670834336</v>
      </c>
      <c r="E8" s="16">
        <v>3819331627.888913</v>
      </c>
      <c r="F8" s="19">
        <v>1.0102038203402408</v>
      </c>
      <c r="G8" s="15">
        <f aca="true" t="shared" si="2" ref="G8:G16">G7</f>
        <v>0.7</v>
      </c>
      <c r="H8" s="15">
        <f t="shared" si="0"/>
        <v>0.30000000000000004</v>
      </c>
      <c r="J8" s="19">
        <f aca="true" t="shared" si="3" ref="J8:J16">LN(C8/C7)-(H8+H7)/2*LN(E8/E7)-(G8+G7)/2*LN(D8/D7)-(G8+G7)/2*LN(F8/F7)</f>
        <v>0.03605448311654415</v>
      </c>
      <c r="K8" s="19">
        <f aca="true" t="shared" si="4" ref="K8:K16">K7*(1+J8)</f>
        <v>1.0360544831165441</v>
      </c>
      <c r="L8" s="19"/>
      <c r="M8" s="19">
        <f aca="true" t="shared" si="5" ref="M8:M16">(G8+G7)/2*LN(D8/D7)</f>
        <v>-0.002805614978277175</v>
      </c>
      <c r="N8" s="19">
        <f aca="true" t="shared" si="6" ref="N8:N16">(H8+H7)/2*LN(E8/E7)</f>
        <v>0.011461094574865677</v>
      </c>
      <c r="O8" s="19">
        <f aca="true" t="shared" si="7" ref="O8:O16">(G8+G7)/2*LN(F8/F7)</f>
        <v>0.007106478967622721</v>
      </c>
      <c r="Q8" s="20"/>
      <c r="R8" s="20"/>
      <c r="S8" s="20"/>
      <c r="U8" s="20"/>
      <c r="V8" s="20"/>
    </row>
    <row r="9" spans="1:22" ht="12.75">
      <c r="A9" s="13">
        <f t="shared" si="1"/>
        <v>1995</v>
      </c>
      <c r="C9" s="10">
        <v>2372657</v>
      </c>
      <c r="D9" s="15">
        <v>892.4170113007934</v>
      </c>
      <c r="E9" s="16">
        <v>4022354755.797245</v>
      </c>
      <c r="F9" s="19">
        <v>1.013179968695156</v>
      </c>
      <c r="G9" s="15">
        <f t="shared" si="2"/>
        <v>0.7</v>
      </c>
      <c r="H9" s="15">
        <f t="shared" si="0"/>
        <v>0.30000000000000004</v>
      </c>
      <c r="J9" s="19">
        <f t="shared" si="3"/>
        <v>0.015342899724207517</v>
      </c>
      <c r="K9" s="19">
        <f t="shared" si="4"/>
        <v>1.051950563159817</v>
      </c>
      <c r="L9" s="19"/>
      <c r="M9" s="19">
        <f t="shared" si="5"/>
        <v>0.007252182607323021</v>
      </c>
      <c r="N9" s="19">
        <f t="shared" si="6"/>
        <v>0.015537615150047365</v>
      </c>
      <c r="O9" s="19">
        <f t="shared" si="7"/>
        <v>0.002059229061858014</v>
      </c>
      <c r="P9" s="19"/>
      <c r="Q9" s="20"/>
      <c r="R9" s="20"/>
      <c r="S9" s="20"/>
      <c r="U9" s="20"/>
      <c r="V9" s="20"/>
    </row>
    <row r="10" spans="1:22" ht="12.75">
      <c r="A10" s="13">
        <f t="shared" si="1"/>
        <v>1996</v>
      </c>
      <c r="C10" s="10">
        <v>2460053.201082056</v>
      </c>
      <c r="D10" s="15">
        <v>883.7601226256311</v>
      </c>
      <c r="E10" s="16">
        <v>4265435055.1898003</v>
      </c>
      <c r="F10" s="19">
        <v>1.0131128280332604</v>
      </c>
      <c r="G10" s="15">
        <f t="shared" si="2"/>
        <v>0.7</v>
      </c>
      <c r="H10" s="15">
        <f t="shared" si="0"/>
        <v>0.30000000000000004</v>
      </c>
      <c r="J10" s="19">
        <f t="shared" si="3"/>
        <v>0.025439430878140545</v>
      </c>
      <c r="K10" s="19">
        <f t="shared" si="4"/>
        <v>1.0787115867985422</v>
      </c>
      <c r="L10" s="19"/>
      <c r="M10" s="19">
        <f t="shared" si="5"/>
        <v>-0.006823497432555865</v>
      </c>
      <c r="N10" s="19">
        <f t="shared" si="6"/>
        <v>0.01760300710757192</v>
      </c>
      <c r="O10" s="19">
        <f t="shared" si="7"/>
        <v>-4.63886200650852E-05</v>
      </c>
      <c r="P10" s="19"/>
      <c r="Q10" s="20"/>
      <c r="R10" s="20"/>
      <c r="S10" s="20"/>
      <c r="U10" s="20"/>
      <c r="V10" s="20"/>
    </row>
    <row r="11" spans="1:22" ht="12.75">
      <c r="A11" s="13">
        <f t="shared" si="1"/>
        <v>1997</v>
      </c>
      <c r="C11" s="10">
        <v>2577569.717021164</v>
      </c>
      <c r="D11" s="15">
        <v>879.2152560711709</v>
      </c>
      <c r="E11" s="16">
        <v>4563783165.652029</v>
      </c>
      <c r="F11" s="19">
        <v>1.0256259870653541</v>
      </c>
      <c r="G11" s="15">
        <f t="shared" si="2"/>
        <v>0.7</v>
      </c>
      <c r="H11" s="15">
        <f t="shared" si="0"/>
        <v>0.30000000000000004</v>
      </c>
      <c r="J11" s="19">
        <f t="shared" si="3"/>
        <v>0.021397945871236883</v>
      </c>
      <c r="K11" s="19">
        <f t="shared" si="4"/>
        <v>1.1017937989435334</v>
      </c>
      <c r="L11" s="19"/>
      <c r="M11" s="19">
        <f t="shared" si="5"/>
        <v>-0.0036091413122362383</v>
      </c>
      <c r="N11" s="19">
        <f t="shared" si="6"/>
        <v>0.020282321852021407</v>
      </c>
      <c r="O11" s="19">
        <f t="shared" si="7"/>
        <v>0.008592882276443446</v>
      </c>
      <c r="P11" s="19"/>
      <c r="Q11" s="20"/>
      <c r="R11" s="20"/>
      <c r="S11" s="20"/>
      <c r="U11" s="20"/>
      <c r="V11" s="20"/>
    </row>
    <row r="12" spans="1:22" ht="12.75">
      <c r="A12" s="13">
        <f t="shared" si="1"/>
        <v>1998</v>
      </c>
      <c r="C12" s="10">
        <v>2668803.591600994</v>
      </c>
      <c r="D12" s="15">
        <v>879.3234671796105</v>
      </c>
      <c r="E12" s="16">
        <v>4901238581.613424</v>
      </c>
      <c r="F12" s="19">
        <v>1.0450944680077647</v>
      </c>
      <c r="G12" s="15">
        <f t="shared" si="2"/>
        <v>0.7</v>
      </c>
      <c r="H12" s="15">
        <f t="shared" si="0"/>
        <v>0.30000000000000004</v>
      </c>
      <c r="J12" s="19">
        <f t="shared" si="3"/>
        <v>0.0001334431716982637</v>
      </c>
      <c r="K12" s="19">
        <f t="shared" si="4"/>
        <v>1.1019408258026218</v>
      </c>
      <c r="L12" s="19"/>
      <c r="M12" s="19">
        <f t="shared" si="5"/>
        <v>8.61485448138095E-05</v>
      </c>
      <c r="N12" s="19">
        <f t="shared" si="6"/>
        <v>0.021400807133617836</v>
      </c>
      <c r="O12" s="19">
        <f t="shared" si="7"/>
        <v>0.01316289525100011</v>
      </c>
      <c r="P12" s="19"/>
      <c r="Q12" s="20"/>
      <c r="R12" s="20"/>
      <c r="S12" s="20"/>
      <c r="U12" s="20"/>
      <c r="V12" s="20"/>
    </row>
    <row r="13" spans="1:22" ht="12.75">
      <c r="A13" s="13">
        <f t="shared" si="1"/>
        <v>1999</v>
      </c>
      <c r="C13" s="10">
        <v>2818198.9676663172</v>
      </c>
      <c r="D13" s="15">
        <v>890.1445780235634</v>
      </c>
      <c r="E13" s="16">
        <v>5356531196.819725</v>
      </c>
      <c r="F13" s="19">
        <v>1.060419284240506</v>
      </c>
      <c r="G13" s="15">
        <f t="shared" si="2"/>
        <v>0.7</v>
      </c>
      <c r="H13" s="15">
        <f t="shared" si="0"/>
        <v>0.30000000000000004</v>
      </c>
      <c r="J13" s="19">
        <f t="shared" si="3"/>
        <v>0.00906742085915738</v>
      </c>
      <c r="K13" s="19">
        <f t="shared" si="4"/>
        <v>1.1119325870320615</v>
      </c>
      <c r="L13" s="19"/>
      <c r="M13" s="19">
        <f t="shared" si="5"/>
        <v>0.008561750569888215</v>
      </c>
      <c r="N13" s="19">
        <f t="shared" si="6"/>
        <v>0.0266485967627198</v>
      </c>
      <c r="O13" s="19">
        <f t="shared" si="7"/>
        <v>0.010189969822307323</v>
      </c>
      <c r="P13" s="19"/>
      <c r="Q13" s="20"/>
      <c r="R13" s="20"/>
      <c r="S13" s="20"/>
      <c r="U13" s="20"/>
      <c r="V13" s="20"/>
    </row>
    <row r="14" spans="1:22" ht="12.75">
      <c r="A14" s="13">
        <f t="shared" si="1"/>
        <v>2000</v>
      </c>
      <c r="C14" s="10">
        <v>2928821.050097774</v>
      </c>
      <c r="D14" s="15">
        <v>900.1</v>
      </c>
      <c r="E14" s="16">
        <v>5782749177.526379</v>
      </c>
      <c r="F14" s="19">
        <v>1.0723210509852923</v>
      </c>
      <c r="G14" s="15">
        <f t="shared" si="2"/>
        <v>0.7</v>
      </c>
      <c r="H14" s="15">
        <f t="shared" si="0"/>
        <v>0.30000000000000004</v>
      </c>
      <c r="J14" s="19">
        <f t="shared" si="3"/>
        <v>-6.499567677099773E-05</v>
      </c>
      <c r="K14" s="19">
        <f t="shared" si="4"/>
        <v>1.1118603162210436</v>
      </c>
      <c r="L14" s="19"/>
      <c r="M14" s="19">
        <f t="shared" si="5"/>
        <v>0.007785380058741212</v>
      </c>
      <c r="N14" s="19">
        <f t="shared" si="6"/>
        <v>0.022968781514010345</v>
      </c>
      <c r="O14" s="19">
        <f t="shared" si="7"/>
        <v>0.007812787210174898</v>
      </c>
      <c r="P14" s="19"/>
      <c r="Q14" s="20"/>
      <c r="R14" s="20"/>
      <c r="S14" s="20"/>
      <c r="U14" s="20"/>
      <c r="V14" s="20"/>
    </row>
    <row r="15" spans="1:22" ht="12.75">
      <c r="A15" s="13">
        <f t="shared" si="1"/>
        <v>2001</v>
      </c>
      <c r="C15" s="10">
        <v>3006181.355828385</v>
      </c>
      <c r="D15" s="15">
        <v>904.3</v>
      </c>
      <c r="E15" s="16">
        <v>6211398277.6616955</v>
      </c>
      <c r="F15" s="19">
        <v>1.0823771169817444</v>
      </c>
      <c r="G15" s="15">
        <f t="shared" si="2"/>
        <v>0.7</v>
      </c>
      <c r="H15" s="15">
        <f t="shared" si="0"/>
        <v>0.30000000000000004</v>
      </c>
      <c r="J15" s="19">
        <f t="shared" si="3"/>
        <v>-0.0051740108777020705</v>
      </c>
      <c r="K15" s="19">
        <f t="shared" si="4"/>
        <v>1.1061075388504307</v>
      </c>
      <c r="L15" s="19"/>
      <c r="M15" s="19">
        <f t="shared" si="5"/>
        <v>0.0032587068383763715</v>
      </c>
      <c r="N15" s="19">
        <f t="shared" si="6"/>
        <v>0.02145204906868833</v>
      </c>
      <c r="O15" s="19">
        <f t="shared" si="7"/>
        <v>0.006533905686428973</v>
      </c>
      <c r="P15" s="19"/>
      <c r="Q15" s="20"/>
      <c r="R15" s="20"/>
      <c r="S15" s="20"/>
      <c r="U15" s="20"/>
      <c r="V15" s="20"/>
    </row>
    <row r="16" spans="1:22" ht="12.75">
      <c r="A16" s="13">
        <f t="shared" si="1"/>
        <v>2002</v>
      </c>
      <c r="C16" s="10">
        <v>3106567.710168912</v>
      </c>
      <c r="D16" s="15">
        <v>899.5</v>
      </c>
      <c r="E16" s="16">
        <v>6634780780.866711</v>
      </c>
      <c r="F16" s="19">
        <v>1.1017102754795285</v>
      </c>
      <c r="G16" s="15">
        <f t="shared" si="2"/>
        <v>0.7</v>
      </c>
      <c r="H16" s="15">
        <f t="shared" si="0"/>
        <v>0.30000000000000004</v>
      </c>
      <c r="J16" s="19">
        <f t="shared" si="3"/>
        <v>0.004398587506660313</v>
      </c>
      <c r="K16" s="19">
        <f t="shared" si="4"/>
        <v>1.110972849651841</v>
      </c>
      <c r="L16" s="19"/>
      <c r="M16" s="19">
        <f t="shared" si="5"/>
        <v>-0.003725477249092594</v>
      </c>
      <c r="N16" s="19">
        <f t="shared" si="6"/>
        <v>0.019781877403451522</v>
      </c>
      <c r="O16" s="19">
        <f t="shared" si="7"/>
        <v>0.012392878119975234</v>
      </c>
      <c r="P16" s="19"/>
      <c r="Q16" s="20"/>
      <c r="R16" s="20"/>
      <c r="S16" s="20"/>
      <c r="U16" s="20"/>
      <c r="V16" s="20"/>
    </row>
    <row r="17" spans="3:22" ht="12.75">
      <c r="C17" s="14"/>
      <c r="D17" s="15"/>
      <c r="E17" s="16"/>
      <c r="F17" s="19"/>
      <c r="G17" s="15"/>
      <c r="J17" s="19"/>
      <c r="K17" s="19"/>
      <c r="L17" s="19"/>
      <c r="M17" s="21"/>
      <c r="N17" s="19"/>
      <c r="O17" s="19"/>
      <c r="P17" s="19"/>
      <c r="Q17" s="20"/>
      <c r="R17" s="20"/>
      <c r="S17" s="20"/>
      <c r="U17" s="20"/>
      <c r="V17" s="20"/>
    </row>
    <row r="18" spans="1:22" ht="12.75">
      <c r="A18" s="22" t="s">
        <v>262</v>
      </c>
      <c r="C18" s="19">
        <f>EXP(1/9*LN(C16/C7))-1</f>
        <v>0.0409861575526973</v>
      </c>
      <c r="D18" s="19">
        <f>EXP(1/9*LN(D16/D7))-1</f>
        <v>0.0015854519540006162</v>
      </c>
      <c r="E18" s="19">
        <f>EXP(1/9*LN(E16/E7))-1</f>
        <v>0.06780589919221636</v>
      </c>
      <c r="F18" s="19">
        <f>EXP(1/9*LN(F16/F7))-1</f>
        <v>0.010820766477556143</v>
      </c>
      <c r="H18" s="25"/>
      <c r="J18" s="20"/>
      <c r="K18" s="19">
        <f>EXP(1/9*LN(K16/K7))-1</f>
        <v>0.011761526105705133</v>
      </c>
      <c r="L18" s="26"/>
      <c r="M18" s="19">
        <f>AVERAGE(M8:M16)</f>
        <v>0.0011089375163311952</v>
      </c>
      <c r="N18" s="19">
        <f>AVERAGE(N8:N16)</f>
        <v>0.0196817945074438</v>
      </c>
      <c r="O18" s="19">
        <f>AVERAGE(O8:O16)</f>
        <v>0.007533848641749515</v>
      </c>
      <c r="P18" s="19"/>
      <c r="Q18" s="19"/>
      <c r="R18" s="19"/>
      <c r="S18" s="19"/>
      <c r="U18" s="20"/>
      <c r="V18" s="20"/>
    </row>
    <row r="19" spans="1:22" ht="12.75">
      <c r="A19" s="22" t="s">
        <v>274</v>
      </c>
      <c r="C19" s="19"/>
      <c r="D19" s="19">
        <f>D18*G7</f>
        <v>0.0011098163678004312</v>
      </c>
      <c r="E19" s="19">
        <f>E18*H7</f>
        <v>0.02034176975766491</v>
      </c>
      <c r="F19" s="19">
        <f>F18*G7</f>
        <v>0.007574536534289299</v>
      </c>
      <c r="G19" s="19"/>
      <c r="H19" s="25"/>
      <c r="J19" s="20"/>
      <c r="K19" s="19">
        <f>K18</f>
        <v>0.011761526105705133</v>
      </c>
      <c r="L19" s="26"/>
      <c r="M19" s="19"/>
      <c r="N19" s="19"/>
      <c r="O19" s="19"/>
      <c r="P19" s="19"/>
      <c r="Q19" s="19"/>
      <c r="R19" s="19"/>
      <c r="S19" s="19"/>
      <c r="U19" s="20"/>
      <c r="V19" s="20"/>
    </row>
    <row r="20" spans="1:22" ht="12.75">
      <c r="A20" s="22" t="s">
        <v>266</v>
      </c>
      <c r="C20" s="19"/>
      <c r="D20" s="19"/>
      <c r="E20" s="19"/>
      <c r="F20" s="19"/>
      <c r="H20" s="25"/>
      <c r="J20" s="20"/>
      <c r="K20" s="19">
        <f>EXP(1/8*LN(K15/K7))-1</f>
        <v>0.012685680492635631</v>
      </c>
      <c r="L20" s="26"/>
      <c r="M20" s="19"/>
      <c r="N20" s="19"/>
      <c r="O20" s="19"/>
      <c r="P20" s="19"/>
      <c r="Q20" s="19"/>
      <c r="R20" s="19"/>
      <c r="S20" s="19"/>
      <c r="U20" s="20"/>
      <c r="V20" s="20"/>
    </row>
    <row r="21" spans="1:12" ht="15" customHeight="1">
      <c r="A21" s="22" t="s">
        <v>263</v>
      </c>
      <c r="H21" s="22"/>
      <c r="J21" s="19"/>
      <c r="K21" s="19">
        <f>EXP(1/8*LN(K16/K8))-1</f>
        <v>0.008765234188214954</v>
      </c>
      <c r="L21" s="19"/>
    </row>
    <row r="22" ht="12.75">
      <c r="A22" s="22"/>
    </row>
    <row r="23" spans="1:13" ht="12.75">
      <c r="A23" s="22"/>
      <c r="J23" s="22"/>
      <c r="K23" s="22"/>
      <c r="L23" s="22"/>
      <c r="M23" s="22"/>
    </row>
    <row r="24" ht="12.75">
      <c r="Q24" s="22"/>
    </row>
    <row r="25" spans="7:15" ht="12.75">
      <c r="G25" s="22"/>
      <c r="H25" s="22"/>
      <c r="I25" s="22"/>
      <c r="J25" s="22"/>
      <c r="K25" s="22"/>
      <c r="L25" s="22"/>
      <c r="M25" s="22"/>
      <c r="N25" s="22"/>
      <c r="O25" s="22"/>
    </row>
    <row r="27" spans="3:13" ht="12.75">
      <c r="C27" s="14"/>
      <c r="D27" s="15"/>
      <c r="E27" s="16"/>
      <c r="F27" s="19"/>
      <c r="G27" s="15"/>
      <c r="H27" s="15"/>
      <c r="J27" s="17"/>
      <c r="K27" s="17"/>
      <c r="L27" s="17"/>
      <c r="M27" s="18"/>
    </row>
    <row r="28" spans="3:19" ht="12.75">
      <c r="C28" s="14"/>
      <c r="D28" s="15"/>
      <c r="E28" s="16"/>
      <c r="F28" s="19"/>
      <c r="G28" s="15"/>
      <c r="H28" s="15"/>
      <c r="J28" s="19"/>
      <c r="K28" s="19"/>
      <c r="L28" s="19"/>
      <c r="M28" s="19"/>
      <c r="N28" s="19"/>
      <c r="O28" s="19"/>
      <c r="Q28" s="20"/>
      <c r="R28" s="20"/>
      <c r="S28" s="20"/>
    </row>
    <row r="29" spans="3:19" ht="12.75">
      <c r="C29" s="14"/>
      <c r="D29" s="15"/>
      <c r="E29" s="16"/>
      <c r="F29" s="19"/>
      <c r="G29" s="15"/>
      <c r="H29" s="15"/>
      <c r="J29" s="19"/>
      <c r="K29" s="19"/>
      <c r="L29" s="19"/>
      <c r="M29" s="19"/>
      <c r="N29" s="19"/>
      <c r="O29" s="19"/>
      <c r="Q29" s="20"/>
      <c r="R29" s="20"/>
      <c r="S29" s="20"/>
    </row>
    <row r="30" spans="3:19" ht="12.75">
      <c r="C30" s="14"/>
      <c r="D30" s="15"/>
      <c r="E30" s="16"/>
      <c r="F30" s="19"/>
      <c r="G30" s="15"/>
      <c r="H30" s="15"/>
      <c r="J30" s="19"/>
      <c r="K30" s="19"/>
      <c r="L30" s="19"/>
      <c r="M30" s="19"/>
      <c r="N30" s="19"/>
      <c r="O30" s="19"/>
      <c r="P30" s="19"/>
      <c r="Q30" s="20"/>
      <c r="R30" s="20"/>
      <c r="S30" s="20"/>
    </row>
    <row r="31" spans="3:19" ht="12.75">
      <c r="C31" s="14"/>
      <c r="D31" s="15"/>
      <c r="E31" s="16"/>
      <c r="F31" s="19"/>
      <c r="G31" s="15"/>
      <c r="H31" s="15"/>
      <c r="J31" s="19"/>
      <c r="K31" s="19"/>
      <c r="L31" s="19"/>
      <c r="M31" s="19"/>
      <c r="N31" s="19"/>
      <c r="O31" s="19"/>
      <c r="P31" s="19"/>
      <c r="Q31" s="20"/>
      <c r="R31" s="20"/>
      <c r="S31" s="20"/>
    </row>
    <row r="32" spans="3:19" ht="12.75">
      <c r="C32" s="14"/>
      <c r="D32" s="15"/>
      <c r="E32" s="16"/>
      <c r="F32" s="19"/>
      <c r="G32" s="15"/>
      <c r="H32" s="15"/>
      <c r="J32" s="19"/>
      <c r="K32" s="19"/>
      <c r="L32" s="19"/>
      <c r="M32" s="19"/>
      <c r="N32" s="19"/>
      <c r="O32" s="19"/>
      <c r="P32" s="19"/>
      <c r="Q32" s="20"/>
      <c r="R32" s="20"/>
      <c r="S32" s="20"/>
    </row>
    <row r="33" spans="3:19" ht="12.75">
      <c r="C33" s="14"/>
      <c r="D33" s="15"/>
      <c r="E33" s="16"/>
      <c r="F33" s="19"/>
      <c r="G33" s="15"/>
      <c r="H33" s="15"/>
      <c r="J33" s="19"/>
      <c r="K33" s="19"/>
      <c r="L33" s="19"/>
      <c r="M33" s="19"/>
      <c r="N33" s="19"/>
      <c r="O33" s="19"/>
      <c r="P33" s="19"/>
      <c r="Q33" s="20"/>
      <c r="R33" s="20"/>
      <c r="S33" s="20"/>
    </row>
    <row r="34" spans="3:19" ht="12.75">
      <c r="C34" s="14"/>
      <c r="D34" s="15"/>
      <c r="E34" s="16"/>
      <c r="F34" s="19"/>
      <c r="G34" s="15"/>
      <c r="H34" s="15"/>
      <c r="J34" s="19"/>
      <c r="K34" s="19"/>
      <c r="L34" s="19"/>
      <c r="M34" s="19"/>
      <c r="N34" s="19"/>
      <c r="O34" s="19"/>
      <c r="P34" s="19"/>
      <c r="Q34" s="20"/>
      <c r="R34" s="20"/>
      <c r="S34" s="20"/>
    </row>
    <row r="35" spans="3:19" ht="12.75">
      <c r="C35" s="14"/>
      <c r="D35" s="15"/>
      <c r="E35" s="16"/>
      <c r="F35" s="19"/>
      <c r="G35" s="15"/>
      <c r="H35" s="15"/>
      <c r="J35" s="19"/>
      <c r="K35" s="19"/>
      <c r="L35" s="19"/>
      <c r="M35" s="19"/>
      <c r="N35" s="19"/>
      <c r="O35" s="19"/>
      <c r="P35" s="19"/>
      <c r="Q35" s="20"/>
      <c r="R35" s="20"/>
      <c r="S35" s="20"/>
    </row>
    <row r="36" spans="3:19" ht="12.75">
      <c r="C36" s="14"/>
      <c r="D36" s="15"/>
      <c r="E36" s="16"/>
      <c r="F36" s="19"/>
      <c r="G36" s="15"/>
      <c r="H36" s="15"/>
      <c r="J36" s="19"/>
      <c r="K36" s="19"/>
      <c r="L36" s="19"/>
      <c r="M36" s="19"/>
      <c r="N36" s="19"/>
      <c r="O36" s="19"/>
      <c r="P36" s="19"/>
      <c r="Q36" s="20"/>
      <c r="R36" s="20"/>
      <c r="S36" s="20"/>
    </row>
    <row r="37" spans="3:19" ht="12.75">
      <c r="C37" s="14"/>
      <c r="D37" s="15"/>
      <c r="E37" s="16"/>
      <c r="F37" s="19"/>
      <c r="G37" s="15"/>
      <c r="J37" s="19"/>
      <c r="K37" s="19"/>
      <c r="L37" s="19"/>
      <c r="M37" s="21"/>
      <c r="N37" s="19"/>
      <c r="O37" s="19"/>
      <c r="P37" s="19"/>
      <c r="Q37" s="20"/>
      <c r="R37" s="20"/>
      <c r="S37" s="20"/>
    </row>
    <row r="38" spans="1:19" ht="12.75">
      <c r="A38" s="22"/>
      <c r="C38" s="19"/>
      <c r="D38" s="19"/>
      <c r="E38" s="19"/>
      <c r="F38" s="19"/>
      <c r="H38" s="25"/>
      <c r="J38" s="20"/>
      <c r="K38" s="19"/>
      <c r="L38" s="26"/>
      <c r="M38" s="19"/>
      <c r="N38" s="19"/>
      <c r="O38" s="19"/>
      <c r="P38" s="19"/>
      <c r="Q38" s="20"/>
      <c r="R38" s="20"/>
      <c r="S38" s="20"/>
    </row>
    <row r="39" spans="1:19" ht="12.75">
      <c r="A39" s="22"/>
      <c r="H39" s="22"/>
      <c r="J39" s="19"/>
      <c r="K39" s="19"/>
      <c r="L39" s="19"/>
      <c r="P39" s="19"/>
      <c r="Q39" s="20"/>
      <c r="R39" s="20"/>
      <c r="S39" s="20"/>
    </row>
    <row r="40" spans="3:15" ht="12.75">
      <c r="C40" s="19"/>
      <c r="D40" s="19"/>
      <c r="F40" s="19"/>
      <c r="G40" s="15"/>
      <c r="H40" s="19"/>
      <c r="I40" s="19"/>
      <c r="J40" s="19"/>
      <c r="K40" s="19"/>
      <c r="L40" s="19"/>
      <c r="M40" s="15"/>
      <c r="N40" s="15"/>
      <c r="O40" s="15"/>
    </row>
    <row r="41" spans="1:17" ht="12.75">
      <c r="A41" s="22"/>
      <c r="J41" s="22"/>
      <c r="K41" s="22"/>
      <c r="L41" s="22"/>
      <c r="M41" s="22"/>
      <c r="Q41" s="22"/>
    </row>
    <row r="43" spans="7:15" ht="12.75">
      <c r="G43" s="22"/>
      <c r="H43" s="22"/>
      <c r="I43" s="22"/>
      <c r="J43" s="22"/>
      <c r="K43" s="22"/>
      <c r="L43" s="22"/>
      <c r="M43" s="22"/>
      <c r="N43" s="22"/>
      <c r="O43" s="22"/>
    </row>
    <row r="45" spans="3:19" ht="12.75">
      <c r="C45" s="14"/>
      <c r="D45" s="15"/>
      <c r="E45" s="16"/>
      <c r="F45" s="1"/>
      <c r="G45" s="15"/>
      <c r="H45" s="15"/>
      <c r="J45" s="17"/>
      <c r="K45" s="17"/>
      <c r="L45" s="17"/>
      <c r="M45" s="18"/>
      <c r="Q45" s="20"/>
      <c r="R45" s="20"/>
      <c r="S45" s="20"/>
    </row>
    <row r="46" spans="3:19" ht="12.75">
      <c r="C46" s="14"/>
      <c r="D46" s="15"/>
      <c r="E46" s="16"/>
      <c r="F46" s="1"/>
      <c r="G46" s="15"/>
      <c r="H46" s="15"/>
      <c r="J46" s="19"/>
      <c r="K46" s="19"/>
      <c r="L46" s="19"/>
      <c r="M46" s="19"/>
      <c r="N46" s="19"/>
      <c r="O46" s="19"/>
      <c r="Q46" s="20"/>
      <c r="R46" s="20"/>
      <c r="S46" s="20"/>
    </row>
    <row r="47" spans="3:19" ht="12.75">
      <c r="C47" s="14"/>
      <c r="D47" s="15"/>
      <c r="E47" s="16"/>
      <c r="F47" s="1"/>
      <c r="G47" s="15"/>
      <c r="H47" s="15"/>
      <c r="J47" s="19"/>
      <c r="K47" s="19"/>
      <c r="L47" s="19"/>
      <c r="M47" s="19"/>
      <c r="N47" s="19"/>
      <c r="O47" s="19"/>
      <c r="P47" s="19"/>
      <c r="Q47" s="20"/>
      <c r="R47" s="20"/>
      <c r="S47" s="20"/>
    </row>
    <row r="48" spans="3:19" ht="12.75">
      <c r="C48" s="14"/>
      <c r="D48" s="15"/>
      <c r="E48" s="16"/>
      <c r="F48" s="1"/>
      <c r="G48" s="15"/>
      <c r="H48" s="15"/>
      <c r="J48" s="19"/>
      <c r="K48" s="19"/>
      <c r="L48" s="19"/>
      <c r="M48" s="19"/>
      <c r="N48" s="19"/>
      <c r="O48" s="19"/>
      <c r="P48" s="19"/>
      <c r="Q48" s="20"/>
      <c r="R48" s="20"/>
      <c r="S48" s="20"/>
    </row>
    <row r="49" spans="3:19" ht="12.75">
      <c r="C49" s="14"/>
      <c r="D49" s="15"/>
      <c r="E49" s="16"/>
      <c r="F49" s="1"/>
      <c r="G49" s="15"/>
      <c r="H49" s="15"/>
      <c r="J49" s="19"/>
      <c r="K49" s="19"/>
      <c r="L49" s="19"/>
      <c r="M49" s="19"/>
      <c r="N49" s="19"/>
      <c r="O49" s="19"/>
      <c r="P49" s="19"/>
      <c r="Q49" s="20"/>
      <c r="R49" s="20"/>
      <c r="S49" s="20"/>
    </row>
    <row r="50" spans="3:19" ht="12.75">
      <c r="C50" s="14"/>
      <c r="D50" s="15"/>
      <c r="E50" s="16"/>
      <c r="F50" s="1"/>
      <c r="G50" s="15"/>
      <c r="H50" s="15"/>
      <c r="J50" s="19"/>
      <c r="K50" s="19"/>
      <c r="L50" s="19"/>
      <c r="M50" s="19"/>
      <c r="N50" s="19"/>
      <c r="O50" s="19"/>
      <c r="P50" s="19"/>
      <c r="Q50" s="20"/>
      <c r="R50" s="20"/>
      <c r="S50" s="20"/>
    </row>
    <row r="51" spans="3:19" ht="12.75">
      <c r="C51" s="14"/>
      <c r="D51" s="15"/>
      <c r="E51" s="16"/>
      <c r="F51" s="1"/>
      <c r="G51" s="15"/>
      <c r="H51" s="15"/>
      <c r="J51" s="19"/>
      <c r="K51" s="19"/>
      <c r="L51" s="19"/>
      <c r="M51" s="19"/>
      <c r="N51" s="19"/>
      <c r="O51" s="19"/>
      <c r="P51" s="19"/>
      <c r="Q51" s="20"/>
      <c r="R51" s="20"/>
      <c r="S51" s="20"/>
    </row>
    <row r="52" spans="3:19" ht="12.75">
      <c r="C52" s="14"/>
      <c r="D52" s="15"/>
      <c r="E52" s="16"/>
      <c r="F52" s="1"/>
      <c r="G52" s="15"/>
      <c r="H52" s="15"/>
      <c r="J52" s="19"/>
      <c r="K52" s="19"/>
      <c r="L52" s="19"/>
      <c r="M52" s="19"/>
      <c r="N52" s="19"/>
      <c r="O52" s="19"/>
      <c r="P52" s="19"/>
      <c r="Q52" s="20"/>
      <c r="R52" s="20"/>
      <c r="S52" s="20"/>
    </row>
    <row r="53" spans="3:19" ht="12.75">
      <c r="C53" s="14"/>
      <c r="D53" s="15"/>
      <c r="E53" s="16"/>
      <c r="F53" s="1"/>
      <c r="G53" s="15"/>
      <c r="H53" s="15"/>
      <c r="J53" s="19"/>
      <c r="K53" s="19"/>
      <c r="L53" s="19"/>
      <c r="M53" s="19"/>
      <c r="N53" s="19"/>
      <c r="O53" s="19"/>
      <c r="P53" s="19"/>
      <c r="Q53" s="20"/>
      <c r="R53" s="20"/>
      <c r="S53" s="20"/>
    </row>
    <row r="54" spans="3:19" ht="12.75">
      <c r="C54" s="14"/>
      <c r="D54" s="15"/>
      <c r="E54" s="16"/>
      <c r="F54" s="19"/>
      <c r="G54" s="15"/>
      <c r="J54" s="19"/>
      <c r="K54" s="19"/>
      <c r="L54" s="19"/>
      <c r="M54" s="19"/>
      <c r="N54" s="19"/>
      <c r="O54" s="19"/>
      <c r="P54" s="19"/>
      <c r="Q54" s="20"/>
      <c r="R54" s="20"/>
      <c r="S54" s="20"/>
    </row>
    <row r="55" spans="1:19" ht="12.75">
      <c r="A55" s="22"/>
      <c r="C55" s="19"/>
      <c r="D55" s="19"/>
      <c r="E55" s="19"/>
      <c r="F55" s="19"/>
      <c r="H55" s="25"/>
      <c r="J55" s="20"/>
      <c r="K55" s="19"/>
      <c r="L55" s="26"/>
      <c r="M55" s="21"/>
      <c r="N55" s="19"/>
      <c r="O55" s="19"/>
      <c r="P55" s="19"/>
      <c r="Q55" s="19"/>
      <c r="R55" s="19"/>
      <c r="S55" s="19"/>
    </row>
    <row r="56" spans="1:22" ht="12.75">
      <c r="A56" s="22"/>
      <c r="C56" s="19"/>
      <c r="D56" s="19"/>
      <c r="E56" s="19"/>
      <c r="F56" s="19"/>
      <c r="G56" s="19"/>
      <c r="H56" s="25"/>
      <c r="J56" s="20"/>
      <c r="K56" s="19"/>
      <c r="L56" s="26"/>
      <c r="M56" s="19"/>
      <c r="N56" s="19"/>
      <c r="O56" s="19"/>
      <c r="P56" s="19"/>
      <c r="Q56" s="19"/>
      <c r="R56" s="19"/>
      <c r="S56" s="19"/>
      <c r="U56" s="20"/>
      <c r="V56" s="20"/>
    </row>
    <row r="57" spans="1:12" ht="15" customHeight="1">
      <c r="A57" s="22"/>
      <c r="H57" s="22"/>
      <c r="J57" s="19"/>
      <c r="K57" s="19"/>
      <c r="L57" s="19"/>
    </row>
    <row r="58" spans="1:19" ht="12.75">
      <c r="A58" s="22"/>
      <c r="C58" s="19"/>
      <c r="D58" s="19"/>
      <c r="E58" s="19"/>
      <c r="F58" s="19"/>
      <c r="H58" s="25"/>
      <c r="J58" s="19"/>
      <c r="K58" s="26"/>
      <c r="L58" s="26"/>
      <c r="M58" s="19"/>
      <c r="N58" s="19"/>
      <c r="O58" s="19"/>
      <c r="P58" s="19"/>
      <c r="Q58" s="20"/>
      <c r="R58" s="20"/>
      <c r="S58" s="20"/>
    </row>
    <row r="59" spans="1:17" ht="12.75">
      <c r="A59" s="22"/>
      <c r="J59" s="22"/>
      <c r="K59" s="22"/>
      <c r="L59" s="22"/>
      <c r="M59" s="22"/>
      <c r="Q59" s="22"/>
    </row>
    <row r="61" spans="7:15" ht="12.75">
      <c r="G61" s="22"/>
      <c r="H61" s="22"/>
      <c r="I61" s="22"/>
      <c r="J61" s="22"/>
      <c r="K61" s="22"/>
      <c r="L61" s="22"/>
      <c r="M61" s="22"/>
      <c r="N61" s="22"/>
      <c r="O61" s="22"/>
    </row>
    <row r="63" spans="3:19" ht="12.75">
      <c r="C63" s="14"/>
      <c r="D63" s="15"/>
      <c r="E63" s="16"/>
      <c r="F63" s="1"/>
      <c r="G63" s="15"/>
      <c r="H63" s="15"/>
      <c r="J63" s="17"/>
      <c r="K63" s="17"/>
      <c r="L63" s="17"/>
      <c r="M63" s="18"/>
      <c r="Q63" s="20"/>
      <c r="R63" s="20"/>
      <c r="S63" s="20"/>
    </row>
    <row r="64" spans="3:19" ht="12.75">
      <c r="C64" s="14"/>
      <c r="D64" s="15"/>
      <c r="E64" s="16"/>
      <c r="F64" s="1"/>
      <c r="G64" s="15"/>
      <c r="H64" s="15"/>
      <c r="J64" s="19"/>
      <c r="K64" s="19"/>
      <c r="L64" s="19"/>
      <c r="M64" s="19"/>
      <c r="N64" s="19"/>
      <c r="O64" s="19"/>
      <c r="Q64" s="20"/>
      <c r="R64" s="20"/>
      <c r="S64" s="20"/>
    </row>
    <row r="65" spans="3:19" ht="12.75">
      <c r="C65" s="14"/>
      <c r="D65" s="15"/>
      <c r="E65" s="16"/>
      <c r="F65" s="1"/>
      <c r="G65" s="15"/>
      <c r="H65" s="15"/>
      <c r="J65" s="19"/>
      <c r="K65" s="19"/>
      <c r="L65" s="19"/>
      <c r="M65" s="19"/>
      <c r="N65" s="19"/>
      <c r="O65" s="19"/>
      <c r="P65" s="19"/>
      <c r="Q65" s="20"/>
      <c r="R65" s="20"/>
      <c r="S65" s="20"/>
    </row>
    <row r="66" spans="3:19" ht="12.75">
      <c r="C66" s="14"/>
      <c r="D66" s="15"/>
      <c r="E66" s="16"/>
      <c r="F66" s="1"/>
      <c r="G66" s="15"/>
      <c r="H66" s="15"/>
      <c r="J66" s="19"/>
      <c r="K66" s="19"/>
      <c r="L66" s="19"/>
      <c r="M66" s="19"/>
      <c r="N66" s="19"/>
      <c r="O66" s="19"/>
      <c r="P66" s="19"/>
      <c r="Q66" s="20"/>
      <c r="R66" s="20"/>
      <c r="S66" s="20"/>
    </row>
    <row r="67" spans="3:19" ht="12.75">
      <c r="C67" s="14"/>
      <c r="D67" s="15"/>
      <c r="E67" s="16"/>
      <c r="F67" s="1"/>
      <c r="G67" s="15"/>
      <c r="H67" s="15"/>
      <c r="J67" s="19"/>
      <c r="K67" s="19"/>
      <c r="L67" s="19"/>
      <c r="M67" s="19"/>
      <c r="N67" s="19"/>
      <c r="O67" s="19"/>
      <c r="P67" s="19"/>
      <c r="Q67" s="20"/>
      <c r="R67" s="20"/>
      <c r="S67" s="20"/>
    </row>
    <row r="68" spans="3:19" ht="12.75">
      <c r="C68" s="14"/>
      <c r="D68" s="15"/>
      <c r="E68" s="16"/>
      <c r="F68" s="1"/>
      <c r="G68" s="15"/>
      <c r="H68" s="15"/>
      <c r="J68" s="19"/>
      <c r="K68" s="19"/>
      <c r="L68" s="19"/>
      <c r="M68" s="19"/>
      <c r="N68" s="19"/>
      <c r="O68" s="19"/>
      <c r="P68" s="19"/>
      <c r="Q68" s="20"/>
      <c r="R68" s="20"/>
      <c r="S68" s="20"/>
    </row>
    <row r="69" spans="3:19" ht="12.75">
      <c r="C69" s="14"/>
      <c r="D69" s="15"/>
      <c r="E69" s="16"/>
      <c r="F69" s="1"/>
      <c r="G69" s="15"/>
      <c r="H69" s="15"/>
      <c r="J69" s="19"/>
      <c r="K69" s="19"/>
      <c r="L69" s="19"/>
      <c r="M69" s="19"/>
      <c r="N69" s="19"/>
      <c r="O69" s="19"/>
      <c r="P69" s="19"/>
      <c r="Q69" s="20"/>
      <c r="R69" s="20"/>
      <c r="S69" s="20"/>
    </row>
    <row r="70" spans="3:19" ht="12.75">
      <c r="C70" s="14"/>
      <c r="D70" s="15"/>
      <c r="E70" s="16"/>
      <c r="F70" s="1"/>
      <c r="G70" s="15"/>
      <c r="H70" s="15"/>
      <c r="J70" s="19"/>
      <c r="K70" s="19"/>
      <c r="L70" s="19"/>
      <c r="M70" s="19"/>
      <c r="N70" s="19"/>
      <c r="O70" s="19"/>
      <c r="P70" s="19"/>
      <c r="Q70" s="20"/>
      <c r="R70" s="20"/>
      <c r="S70" s="20"/>
    </row>
    <row r="71" spans="3:19" ht="12.75">
      <c r="C71" s="14"/>
      <c r="D71" s="15"/>
      <c r="E71" s="16"/>
      <c r="F71" s="1"/>
      <c r="G71" s="15"/>
      <c r="H71" s="15"/>
      <c r="J71" s="19"/>
      <c r="K71" s="19"/>
      <c r="L71" s="19"/>
      <c r="M71" s="19"/>
      <c r="N71" s="19"/>
      <c r="O71" s="19"/>
      <c r="P71" s="19"/>
      <c r="Q71" s="20"/>
      <c r="R71" s="20"/>
      <c r="S71" s="20"/>
    </row>
    <row r="72" spans="3:19" ht="12.75">
      <c r="C72" s="14"/>
      <c r="D72" s="15"/>
      <c r="E72" s="16"/>
      <c r="F72" s="1"/>
      <c r="G72" s="15"/>
      <c r="H72" s="15"/>
      <c r="J72" s="19"/>
      <c r="K72" s="19"/>
      <c r="L72" s="19"/>
      <c r="M72" s="19"/>
      <c r="N72" s="19"/>
      <c r="O72" s="19"/>
      <c r="P72" s="19"/>
      <c r="Q72" s="20"/>
      <c r="R72" s="20"/>
      <c r="S72" s="20"/>
    </row>
    <row r="73" spans="3:19" ht="12.75">
      <c r="C73" s="14"/>
      <c r="D73" s="15"/>
      <c r="E73" s="16"/>
      <c r="F73" s="19"/>
      <c r="G73" s="15"/>
      <c r="J73" s="19"/>
      <c r="K73" s="19"/>
      <c r="L73" s="19"/>
      <c r="M73" s="21"/>
      <c r="N73" s="19"/>
      <c r="O73" s="19"/>
      <c r="P73" s="19"/>
      <c r="Q73" s="20"/>
      <c r="R73" s="20"/>
      <c r="S73" s="20"/>
    </row>
    <row r="74" spans="1:19" ht="12.75">
      <c r="A74" s="22"/>
      <c r="C74" s="19"/>
      <c r="D74" s="19"/>
      <c r="E74" s="19"/>
      <c r="F74" s="19"/>
      <c r="H74" s="25"/>
      <c r="J74" s="20"/>
      <c r="K74" s="19"/>
      <c r="L74" s="26"/>
      <c r="M74" s="19"/>
      <c r="N74" s="19"/>
      <c r="O74" s="19"/>
      <c r="P74" s="19"/>
      <c r="Q74" s="19"/>
      <c r="R74" s="19"/>
      <c r="S74" s="19"/>
    </row>
    <row r="75" spans="1:22" ht="12.75">
      <c r="A75" s="22"/>
      <c r="C75" s="19"/>
      <c r="D75" s="19"/>
      <c r="E75" s="19"/>
      <c r="F75" s="19"/>
      <c r="G75" s="19"/>
      <c r="H75" s="25"/>
      <c r="J75" s="20"/>
      <c r="K75" s="19"/>
      <c r="L75" s="26"/>
      <c r="M75" s="19"/>
      <c r="N75" s="19"/>
      <c r="O75" s="19"/>
      <c r="P75" s="19"/>
      <c r="Q75" s="19"/>
      <c r="R75" s="19"/>
      <c r="S75" s="19"/>
      <c r="U75" s="20"/>
      <c r="V75" s="20"/>
    </row>
    <row r="76" spans="1:12" ht="15" customHeight="1">
      <c r="A76" s="22"/>
      <c r="H76" s="22"/>
      <c r="J76" s="19"/>
      <c r="K76" s="19"/>
      <c r="L76" s="19"/>
    </row>
    <row r="78" spans="1:17" ht="12.75">
      <c r="A78" s="22"/>
      <c r="J78" s="22"/>
      <c r="K78" s="22"/>
      <c r="L78" s="22"/>
      <c r="M78" s="22"/>
      <c r="Q78" s="22"/>
    </row>
    <row r="80" spans="7:15" ht="12.75">
      <c r="G80" s="22"/>
      <c r="H80" s="22"/>
      <c r="I80" s="22"/>
      <c r="J80" s="22"/>
      <c r="K80" s="22"/>
      <c r="L80" s="22"/>
      <c r="M80" s="22"/>
      <c r="N80" s="22"/>
      <c r="O80" s="22"/>
    </row>
    <row r="82" spans="3:19" ht="12.75">
      <c r="C82" s="14"/>
      <c r="D82" s="15"/>
      <c r="E82" s="16"/>
      <c r="F82" s="19"/>
      <c r="G82" s="15"/>
      <c r="H82" s="15"/>
      <c r="J82" s="17"/>
      <c r="K82" s="17"/>
      <c r="L82" s="17"/>
      <c r="M82" s="18"/>
      <c r="Q82" s="20"/>
      <c r="R82" s="20"/>
      <c r="S82" s="20"/>
    </row>
    <row r="83" spans="3:19" ht="12.75">
      <c r="C83" s="14"/>
      <c r="D83" s="15"/>
      <c r="E83" s="16"/>
      <c r="F83" s="19"/>
      <c r="G83" s="15"/>
      <c r="H83" s="15"/>
      <c r="J83" s="19"/>
      <c r="K83" s="19"/>
      <c r="L83" s="19"/>
      <c r="M83" s="19"/>
      <c r="N83" s="19"/>
      <c r="O83" s="19"/>
      <c r="Q83" s="20"/>
      <c r="R83" s="20"/>
      <c r="S83" s="20"/>
    </row>
    <row r="84" spans="3:19" ht="12.75">
      <c r="C84" s="14"/>
      <c r="D84" s="15"/>
      <c r="E84" s="16"/>
      <c r="F84" s="19"/>
      <c r="G84" s="15"/>
      <c r="H84" s="15"/>
      <c r="J84" s="19"/>
      <c r="K84" s="19"/>
      <c r="L84" s="19"/>
      <c r="M84" s="19"/>
      <c r="N84" s="19"/>
      <c r="O84" s="19"/>
      <c r="P84" s="19"/>
      <c r="Q84" s="20"/>
      <c r="R84" s="20"/>
      <c r="S84" s="20"/>
    </row>
    <row r="85" spans="3:19" ht="12.75">
      <c r="C85" s="14"/>
      <c r="D85" s="15"/>
      <c r="E85" s="16"/>
      <c r="F85" s="19"/>
      <c r="G85" s="15"/>
      <c r="H85" s="15"/>
      <c r="J85" s="19"/>
      <c r="K85" s="19"/>
      <c r="L85" s="19"/>
      <c r="M85" s="19"/>
      <c r="N85" s="19"/>
      <c r="O85" s="19"/>
      <c r="P85" s="19"/>
      <c r="Q85" s="20"/>
      <c r="R85" s="20"/>
      <c r="S85" s="20"/>
    </row>
    <row r="86" spans="3:19" ht="12.75">
      <c r="C86" s="14"/>
      <c r="D86" s="15"/>
      <c r="E86" s="16"/>
      <c r="F86" s="19"/>
      <c r="G86" s="15"/>
      <c r="H86" s="15"/>
      <c r="J86" s="19"/>
      <c r="K86" s="19"/>
      <c r="L86" s="19"/>
      <c r="M86" s="19"/>
      <c r="N86" s="19"/>
      <c r="O86" s="19"/>
      <c r="P86" s="19"/>
      <c r="Q86" s="20"/>
      <c r="R86" s="20"/>
      <c r="S86" s="20"/>
    </row>
    <row r="87" spans="3:19" ht="12.75">
      <c r="C87" s="14"/>
      <c r="D87" s="15"/>
      <c r="E87" s="16"/>
      <c r="F87" s="19"/>
      <c r="G87" s="15"/>
      <c r="H87" s="15"/>
      <c r="J87" s="19"/>
      <c r="K87" s="19"/>
      <c r="L87" s="19"/>
      <c r="M87" s="19"/>
      <c r="N87" s="19"/>
      <c r="O87" s="19"/>
      <c r="P87" s="19"/>
      <c r="Q87" s="20"/>
      <c r="R87" s="20"/>
      <c r="S87" s="20"/>
    </row>
    <row r="88" spans="3:19" ht="12.75">
      <c r="C88" s="14"/>
      <c r="D88" s="15"/>
      <c r="E88" s="16"/>
      <c r="F88" s="19"/>
      <c r="G88" s="15"/>
      <c r="H88" s="15"/>
      <c r="J88" s="19"/>
      <c r="K88" s="19"/>
      <c r="L88" s="19"/>
      <c r="M88" s="19"/>
      <c r="N88" s="19"/>
      <c r="O88" s="19"/>
      <c r="P88" s="19"/>
      <c r="Q88" s="20"/>
      <c r="R88" s="20"/>
      <c r="S88" s="20"/>
    </row>
    <row r="89" spans="3:19" ht="12.75">
      <c r="C89" s="14"/>
      <c r="D89" s="15"/>
      <c r="E89" s="16"/>
      <c r="F89" s="19"/>
      <c r="G89" s="15"/>
      <c r="H89" s="15"/>
      <c r="J89" s="19"/>
      <c r="K89" s="19"/>
      <c r="L89" s="19"/>
      <c r="M89" s="19"/>
      <c r="N89" s="19"/>
      <c r="O89" s="19"/>
      <c r="P89" s="19"/>
      <c r="Q89" s="20"/>
      <c r="R89" s="20"/>
      <c r="S89" s="20"/>
    </row>
    <row r="90" spans="3:19" ht="12.75">
      <c r="C90" s="14"/>
      <c r="D90" s="15"/>
      <c r="E90" s="16"/>
      <c r="F90" s="19"/>
      <c r="G90" s="15"/>
      <c r="H90" s="15"/>
      <c r="J90" s="19"/>
      <c r="K90" s="19"/>
      <c r="L90" s="19"/>
      <c r="M90" s="19"/>
      <c r="N90" s="19"/>
      <c r="O90" s="19"/>
      <c r="P90" s="19"/>
      <c r="Q90" s="20"/>
      <c r="R90" s="20"/>
      <c r="S90" s="20"/>
    </row>
    <row r="91" spans="3:19" ht="12.75">
      <c r="C91" s="14"/>
      <c r="D91" s="15"/>
      <c r="E91" s="16"/>
      <c r="F91" s="19"/>
      <c r="G91" s="15"/>
      <c r="H91" s="15"/>
      <c r="J91" s="19"/>
      <c r="K91" s="19"/>
      <c r="L91" s="19"/>
      <c r="M91" s="19"/>
      <c r="N91" s="19"/>
      <c r="O91" s="19"/>
      <c r="P91" s="19"/>
      <c r="Q91" s="20"/>
      <c r="R91" s="20"/>
      <c r="S91" s="20"/>
    </row>
    <row r="92" spans="3:19" ht="12.75">
      <c r="C92" s="14"/>
      <c r="D92" s="15"/>
      <c r="E92" s="16"/>
      <c r="F92" s="19"/>
      <c r="G92" s="15"/>
      <c r="J92" s="19"/>
      <c r="K92" s="19"/>
      <c r="L92" s="19"/>
      <c r="M92" s="21"/>
      <c r="N92" s="19"/>
      <c r="O92" s="19"/>
      <c r="P92" s="19"/>
      <c r="Q92" s="20"/>
      <c r="R92" s="20"/>
      <c r="S92" s="20"/>
    </row>
    <row r="93" spans="1:19" ht="12.75">
      <c r="A93" s="22"/>
      <c r="C93" s="19"/>
      <c r="D93" s="19"/>
      <c r="E93" s="19"/>
      <c r="F93" s="19"/>
      <c r="H93" s="25"/>
      <c r="J93" s="20"/>
      <c r="K93" s="19"/>
      <c r="L93" s="26"/>
      <c r="M93" s="19"/>
      <c r="N93" s="19"/>
      <c r="O93" s="19"/>
      <c r="P93" s="19"/>
      <c r="Q93" s="19"/>
      <c r="R93" s="19"/>
      <c r="S93" s="19"/>
    </row>
    <row r="94" spans="1:22" ht="12.75">
      <c r="A94" s="22"/>
      <c r="C94" s="19"/>
      <c r="D94" s="19"/>
      <c r="E94" s="19"/>
      <c r="F94" s="19"/>
      <c r="G94" s="19"/>
      <c r="H94" s="25"/>
      <c r="J94" s="20"/>
      <c r="K94" s="19"/>
      <c r="L94" s="26"/>
      <c r="M94" s="21"/>
      <c r="N94" s="19"/>
      <c r="O94" s="19"/>
      <c r="P94" s="19"/>
      <c r="Q94" s="19"/>
      <c r="R94" s="19"/>
      <c r="S94" s="19"/>
      <c r="U94" s="20"/>
      <c r="V94" s="20"/>
    </row>
    <row r="95" spans="1:15" ht="15" customHeight="1">
      <c r="A95" s="22"/>
      <c r="H95" s="22"/>
      <c r="J95" s="19"/>
      <c r="K95" s="19"/>
      <c r="L95" s="19"/>
      <c r="M95" s="19"/>
      <c r="N95" s="19"/>
      <c r="O95" s="19"/>
    </row>
    <row r="97" spans="1:17" ht="12.75">
      <c r="A97" s="22"/>
      <c r="J97" s="22"/>
      <c r="K97" s="22"/>
      <c r="L97" s="22"/>
      <c r="M97" s="22"/>
      <c r="Q97" s="22"/>
    </row>
    <row r="98" spans="21:22" ht="12.75">
      <c r="U98" s="20"/>
      <c r="V98" s="20"/>
    </row>
    <row r="99" spans="7:22" ht="12.75">
      <c r="G99" s="22"/>
      <c r="H99" s="22"/>
      <c r="I99" s="22"/>
      <c r="J99" s="22"/>
      <c r="K99" s="22"/>
      <c r="L99" s="22"/>
      <c r="M99" s="22"/>
      <c r="N99" s="22"/>
      <c r="O99" s="22"/>
      <c r="U99" s="20"/>
      <c r="V99" s="20"/>
    </row>
    <row r="100" spans="21:22" ht="12.75">
      <c r="U100" s="20"/>
      <c r="V100" s="20"/>
    </row>
    <row r="101" spans="3:22" ht="12.75">
      <c r="C101" s="14"/>
      <c r="D101" s="15"/>
      <c r="E101" s="16"/>
      <c r="F101" s="19"/>
      <c r="G101" s="15"/>
      <c r="H101" s="15"/>
      <c r="J101" s="17"/>
      <c r="K101" s="17"/>
      <c r="L101" s="17"/>
      <c r="M101" s="18"/>
      <c r="Q101" s="20"/>
      <c r="R101" s="20"/>
      <c r="S101" s="20"/>
      <c r="U101" s="20"/>
      <c r="V101" s="20"/>
    </row>
    <row r="102" spans="3:22" ht="12.75">
      <c r="C102" s="14"/>
      <c r="D102" s="15"/>
      <c r="E102" s="16"/>
      <c r="F102" s="19"/>
      <c r="G102" s="15"/>
      <c r="H102" s="15"/>
      <c r="J102" s="19"/>
      <c r="K102" s="19"/>
      <c r="L102" s="19"/>
      <c r="M102" s="19"/>
      <c r="N102" s="19"/>
      <c r="O102" s="19"/>
      <c r="Q102" s="20"/>
      <c r="R102" s="20"/>
      <c r="S102" s="20"/>
      <c r="U102" s="20"/>
      <c r="V102" s="20"/>
    </row>
    <row r="103" spans="3:22" ht="12.75">
      <c r="C103" s="14"/>
      <c r="D103" s="15"/>
      <c r="E103" s="16"/>
      <c r="F103" s="19"/>
      <c r="G103" s="15"/>
      <c r="H103" s="15"/>
      <c r="J103" s="19"/>
      <c r="K103" s="19"/>
      <c r="L103" s="19"/>
      <c r="M103" s="19"/>
      <c r="N103" s="19"/>
      <c r="O103" s="19"/>
      <c r="P103" s="19"/>
      <c r="Q103" s="20"/>
      <c r="R103" s="20"/>
      <c r="S103" s="20"/>
      <c r="U103" s="20"/>
      <c r="V103" s="20"/>
    </row>
    <row r="104" spans="3:22" ht="12.75">
      <c r="C104" s="14"/>
      <c r="D104" s="15"/>
      <c r="E104" s="16"/>
      <c r="F104" s="19"/>
      <c r="G104" s="15"/>
      <c r="H104" s="15"/>
      <c r="J104" s="19"/>
      <c r="K104" s="19"/>
      <c r="L104" s="19"/>
      <c r="M104" s="19"/>
      <c r="N104" s="19"/>
      <c r="O104" s="19"/>
      <c r="P104" s="19"/>
      <c r="Q104" s="20"/>
      <c r="R104" s="20"/>
      <c r="S104" s="20"/>
      <c r="U104" s="20"/>
      <c r="V104" s="20"/>
    </row>
    <row r="105" spans="3:22" ht="12.75">
      <c r="C105" s="14"/>
      <c r="D105" s="15"/>
      <c r="E105" s="16"/>
      <c r="F105" s="19"/>
      <c r="G105" s="15"/>
      <c r="H105" s="15"/>
      <c r="J105" s="19"/>
      <c r="K105" s="19"/>
      <c r="L105" s="19"/>
      <c r="M105" s="19"/>
      <c r="N105" s="19"/>
      <c r="O105" s="19"/>
      <c r="P105" s="19"/>
      <c r="Q105" s="20"/>
      <c r="R105" s="20"/>
      <c r="S105" s="20"/>
      <c r="U105" s="20"/>
      <c r="V105" s="20"/>
    </row>
    <row r="106" spans="3:22" ht="12.75">
      <c r="C106" s="14"/>
      <c r="D106" s="15"/>
      <c r="E106" s="16"/>
      <c r="F106" s="19"/>
      <c r="G106" s="15"/>
      <c r="H106" s="15"/>
      <c r="J106" s="19"/>
      <c r="K106" s="19"/>
      <c r="L106" s="19"/>
      <c r="M106" s="19"/>
      <c r="N106" s="19"/>
      <c r="O106" s="19"/>
      <c r="P106" s="19"/>
      <c r="Q106" s="20"/>
      <c r="R106" s="20"/>
      <c r="S106" s="20"/>
      <c r="U106" s="20"/>
      <c r="V106" s="20"/>
    </row>
    <row r="107" spans="3:22" ht="12.75">
      <c r="C107" s="14"/>
      <c r="D107" s="15"/>
      <c r="E107" s="16"/>
      <c r="F107" s="19"/>
      <c r="G107" s="15"/>
      <c r="H107" s="15"/>
      <c r="J107" s="19"/>
      <c r="K107" s="19"/>
      <c r="L107" s="19"/>
      <c r="M107" s="19"/>
      <c r="N107" s="19"/>
      <c r="O107" s="19"/>
      <c r="P107" s="19"/>
      <c r="Q107" s="20"/>
      <c r="R107" s="20"/>
      <c r="S107" s="20"/>
      <c r="U107" s="20"/>
      <c r="V107" s="20"/>
    </row>
    <row r="108" spans="3:22" ht="12.75">
      <c r="C108" s="14"/>
      <c r="D108" s="15"/>
      <c r="E108" s="16"/>
      <c r="F108" s="19"/>
      <c r="G108" s="15"/>
      <c r="H108" s="15"/>
      <c r="J108" s="19"/>
      <c r="K108" s="19"/>
      <c r="L108" s="19"/>
      <c r="M108" s="19"/>
      <c r="N108" s="19"/>
      <c r="O108" s="19"/>
      <c r="P108" s="19"/>
      <c r="Q108" s="20"/>
      <c r="R108" s="20"/>
      <c r="S108" s="20"/>
      <c r="U108" s="20"/>
      <c r="V108" s="20"/>
    </row>
    <row r="109" spans="3:22" ht="12.75">
      <c r="C109" s="14"/>
      <c r="D109" s="15"/>
      <c r="E109" s="16"/>
      <c r="F109" s="19"/>
      <c r="G109" s="15"/>
      <c r="H109" s="15"/>
      <c r="J109" s="19"/>
      <c r="K109" s="19"/>
      <c r="L109" s="19"/>
      <c r="M109" s="19"/>
      <c r="N109" s="19"/>
      <c r="O109" s="19"/>
      <c r="P109" s="19"/>
      <c r="Q109" s="20"/>
      <c r="R109" s="20"/>
      <c r="S109" s="20"/>
      <c r="U109" s="20"/>
      <c r="V109" s="20"/>
    </row>
    <row r="110" spans="3:22" ht="12.75">
      <c r="C110" s="14"/>
      <c r="D110" s="15"/>
      <c r="E110" s="16"/>
      <c r="F110" s="19"/>
      <c r="G110" s="15"/>
      <c r="H110" s="15"/>
      <c r="J110" s="19"/>
      <c r="K110" s="19"/>
      <c r="L110" s="19"/>
      <c r="M110" s="19"/>
      <c r="N110" s="19"/>
      <c r="O110" s="19"/>
      <c r="P110" s="19"/>
      <c r="Q110" s="20"/>
      <c r="R110" s="20"/>
      <c r="S110" s="20"/>
      <c r="U110" s="20"/>
      <c r="V110" s="20"/>
    </row>
    <row r="111" spans="3:22" ht="12.75">
      <c r="C111" s="14"/>
      <c r="D111" s="15"/>
      <c r="E111" s="16"/>
      <c r="F111" s="19"/>
      <c r="G111" s="15"/>
      <c r="J111" s="19"/>
      <c r="K111" s="19"/>
      <c r="L111" s="19"/>
      <c r="M111" s="21"/>
      <c r="N111" s="19"/>
      <c r="O111" s="19"/>
      <c r="P111" s="19"/>
      <c r="Q111" s="20"/>
      <c r="R111" s="20"/>
      <c r="S111" s="20"/>
      <c r="U111" s="20"/>
      <c r="V111" s="20"/>
    </row>
    <row r="112" spans="1:22" ht="12.75">
      <c r="A112" s="22"/>
      <c r="C112" s="19"/>
      <c r="D112" s="19"/>
      <c r="E112" s="19"/>
      <c r="F112" s="19"/>
      <c r="H112" s="25"/>
      <c r="J112" s="20"/>
      <c r="K112" s="19"/>
      <c r="L112" s="26"/>
      <c r="M112" s="19"/>
      <c r="N112" s="19"/>
      <c r="O112" s="19"/>
      <c r="P112" s="19"/>
      <c r="Q112" s="19"/>
      <c r="R112" s="19"/>
      <c r="S112" s="19"/>
      <c r="U112" s="20"/>
      <c r="V112" s="20"/>
    </row>
    <row r="113" spans="1:22" ht="12.75">
      <c r="A113" s="22"/>
      <c r="C113" s="19"/>
      <c r="D113" s="19"/>
      <c r="E113" s="19"/>
      <c r="F113" s="19"/>
      <c r="G113" s="19"/>
      <c r="H113" s="25"/>
      <c r="J113" s="20"/>
      <c r="K113" s="19"/>
      <c r="L113" s="26"/>
      <c r="M113" s="19"/>
      <c r="N113" s="19"/>
      <c r="O113" s="19"/>
      <c r="P113" s="19"/>
      <c r="Q113" s="19"/>
      <c r="R113" s="19"/>
      <c r="S113" s="19"/>
      <c r="U113" s="20"/>
      <c r="V113" s="20"/>
    </row>
    <row r="114" spans="1:22" ht="12.75">
      <c r="A114" s="22"/>
      <c r="C114" s="19"/>
      <c r="D114" s="19"/>
      <c r="E114" s="19"/>
      <c r="F114" s="19"/>
      <c r="H114" s="25"/>
      <c r="J114" s="20"/>
      <c r="K114" s="19"/>
      <c r="L114" s="26"/>
      <c r="M114" s="19"/>
      <c r="N114" s="19"/>
      <c r="O114" s="19"/>
      <c r="P114" s="19"/>
      <c r="Q114" s="19"/>
      <c r="R114" s="19"/>
      <c r="S114" s="19"/>
      <c r="U114" s="20"/>
      <c r="V114" s="20"/>
    </row>
    <row r="115" spans="1:12" ht="15" customHeight="1">
      <c r="A115" s="22"/>
      <c r="H115" s="22"/>
      <c r="J115" s="19"/>
      <c r="K115" s="19"/>
      <c r="L115" s="19"/>
    </row>
    <row r="117" spans="1:17" ht="12.75">
      <c r="A117" s="22"/>
      <c r="J117" s="22"/>
      <c r="K117" s="22"/>
      <c r="L117" s="22"/>
      <c r="M117" s="22"/>
      <c r="Q117" s="22"/>
    </row>
    <row r="118" spans="21:22" ht="12.75">
      <c r="U118" s="20"/>
      <c r="V118" s="20"/>
    </row>
    <row r="119" spans="7:22" ht="12.75">
      <c r="G119" s="22"/>
      <c r="H119" s="22"/>
      <c r="I119" s="22"/>
      <c r="J119" s="22"/>
      <c r="K119" s="22"/>
      <c r="L119" s="22"/>
      <c r="M119" s="22"/>
      <c r="N119" s="22"/>
      <c r="O119" s="22"/>
      <c r="U119" s="20"/>
      <c r="V119" s="20"/>
    </row>
    <row r="120" spans="21:22" ht="12.75">
      <c r="U120" s="20"/>
      <c r="V120" s="20"/>
    </row>
    <row r="121" spans="3:22" ht="12.75">
      <c r="C121" s="14"/>
      <c r="D121" s="15"/>
      <c r="E121" s="16"/>
      <c r="F121" s="19"/>
      <c r="G121" s="15"/>
      <c r="H121" s="15"/>
      <c r="J121" s="17"/>
      <c r="K121" s="17"/>
      <c r="L121" s="17"/>
      <c r="M121" s="18"/>
      <c r="Q121" s="20"/>
      <c r="R121" s="20"/>
      <c r="S121" s="20"/>
      <c r="U121" s="20"/>
      <c r="V121" s="20"/>
    </row>
    <row r="122" spans="3:22" ht="12.75">
      <c r="C122" s="14"/>
      <c r="D122" s="15"/>
      <c r="E122" s="16"/>
      <c r="F122" s="19"/>
      <c r="G122" s="15"/>
      <c r="H122" s="15"/>
      <c r="J122" s="19"/>
      <c r="K122" s="19"/>
      <c r="L122" s="19"/>
      <c r="M122" s="19"/>
      <c r="N122" s="19"/>
      <c r="O122" s="19"/>
      <c r="Q122" s="20"/>
      <c r="R122" s="20"/>
      <c r="S122" s="20"/>
      <c r="U122" s="20"/>
      <c r="V122" s="20"/>
    </row>
    <row r="123" spans="3:22" ht="12.75">
      <c r="C123" s="14"/>
      <c r="D123" s="15"/>
      <c r="E123" s="16"/>
      <c r="F123" s="19"/>
      <c r="G123" s="15"/>
      <c r="H123" s="15"/>
      <c r="J123" s="19"/>
      <c r="K123" s="19"/>
      <c r="L123" s="19"/>
      <c r="M123" s="19"/>
      <c r="N123" s="19"/>
      <c r="O123" s="19"/>
      <c r="P123" s="19"/>
      <c r="Q123" s="20"/>
      <c r="R123" s="20"/>
      <c r="S123" s="20"/>
      <c r="U123" s="20"/>
      <c r="V123" s="20"/>
    </row>
    <row r="124" spans="3:22" ht="12.75">
      <c r="C124" s="14"/>
      <c r="D124" s="15"/>
      <c r="E124" s="16"/>
      <c r="F124" s="19"/>
      <c r="G124" s="15"/>
      <c r="H124" s="15"/>
      <c r="J124" s="19"/>
      <c r="K124" s="19"/>
      <c r="L124" s="19"/>
      <c r="M124" s="19"/>
      <c r="N124" s="19"/>
      <c r="O124" s="19"/>
      <c r="P124" s="19"/>
      <c r="Q124" s="20"/>
      <c r="R124" s="20"/>
      <c r="S124" s="20"/>
      <c r="U124" s="20"/>
      <c r="V124" s="20"/>
    </row>
    <row r="125" spans="3:22" ht="12.75">
      <c r="C125" s="14"/>
      <c r="D125" s="15"/>
      <c r="E125" s="16"/>
      <c r="F125" s="19"/>
      <c r="G125" s="15"/>
      <c r="H125" s="15"/>
      <c r="J125" s="19"/>
      <c r="K125" s="19"/>
      <c r="L125" s="19"/>
      <c r="M125" s="19"/>
      <c r="N125" s="19"/>
      <c r="O125" s="19"/>
      <c r="P125" s="19"/>
      <c r="Q125" s="20"/>
      <c r="R125" s="20"/>
      <c r="S125" s="20"/>
      <c r="U125" s="20"/>
      <c r="V125" s="20"/>
    </row>
    <row r="126" spans="3:22" ht="12.75">
      <c r="C126" s="14"/>
      <c r="D126" s="15"/>
      <c r="E126" s="16"/>
      <c r="F126" s="19"/>
      <c r="G126" s="15"/>
      <c r="H126" s="15"/>
      <c r="J126" s="19"/>
      <c r="K126" s="19"/>
      <c r="L126" s="19"/>
      <c r="M126" s="19"/>
      <c r="N126" s="19"/>
      <c r="O126" s="19"/>
      <c r="P126" s="19"/>
      <c r="Q126" s="20"/>
      <c r="R126" s="20"/>
      <c r="S126" s="20"/>
      <c r="U126" s="20"/>
      <c r="V126" s="20"/>
    </row>
    <row r="127" spans="3:22" ht="12.75">
      <c r="C127" s="14"/>
      <c r="D127" s="15"/>
      <c r="E127" s="16"/>
      <c r="F127" s="19"/>
      <c r="G127" s="15"/>
      <c r="H127" s="15"/>
      <c r="J127" s="19"/>
      <c r="K127" s="19"/>
      <c r="L127" s="19"/>
      <c r="M127" s="19"/>
      <c r="N127" s="19"/>
      <c r="O127" s="19"/>
      <c r="P127" s="19"/>
      <c r="Q127" s="20"/>
      <c r="R127" s="20"/>
      <c r="S127" s="20"/>
      <c r="U127" s="20"/>
      <c r="V127" s="20"/>
    </row>
    <row r="128" spans="3:22" ht="12.75">
      <c r="C128" s="14"/>
      <c r="D128" s="15"/>
      <c r="E128" s="16"/>
      <c r="F128" s="19"/>
      <c r="G128" s="15"/>
      <c r="H128" s="15"/>
      <c r="J128" s="19"/>
      <c r="K128" s="19"/>
      <c r="L128" s="19"/>
      <c r="M128" s="19"/>
      <c r="N128" s="19"/>
      <c r="O128" s="19"/>
      <c r="P128" s="19"/>
      <c r="Q128" s="20"/>
      <c r="R128" s="20"/>
      <c r="S128" s="20"/>
      <c r="U128" s="20"/>
      <c r="V128" s="20"/>
    </row>
    <row r="129" spans="3:22" ht="12.75">
      <c r="C129" s="14"/>
      <c r="D129" s="15"/>
      <c r="E129" s="16"/>
      <c r="F129" s="19"/>
      <c r="G129" s="15"/>
      <c r="H129" s="15"/>
      <c r="J129" s="19"/>
      <c r="K129" s="19"/>
      <c r="L129" s="19"/>
      <c r="M129" s="19"/>
      <c r="N129" s="19"/>
      <c r="O129" s="19"/>
      <c r="P129" s="19"/>
      <c r="Q129" s="20"/>
      <c r="R129" s="20"/>
      <c r="S129" s="20"/>
      <c r="U129" s="20"/>
      <c r="V129" s="20"/>
    </row>
    <row r="130" spans="3:22" ht="12.75">
      <c r="C130" s="14"/>
      <c r="D130" s="15"/>
      <c r="E130" s="16"/>
      <c r="F130" s="19"/>
      <c r="G130" s="15"/>
      <c r="H130" s="15"/>
      <c r="J130" s="19"/>
      <c r="K130" s="19"/>
      <c r="L130" s="19"/>
      <c r="M130" s="19"/>
      <c r="N130" s="19"/>
      <c r="O130" s="19"/>
      <c r="P130" s="19"/>
      <c r="Q130" s="20"/>
      <c r="R130" s="20"/>
      <c r="S130" s="20"/>
      <c r="U130" s="20"/>
      <c r="V130" s="20"/>
    </row>
    <row r="131" spans="3:22" ht="12.75">
      <c r="C131" s="14"/>
      <c r="D131" s="15"/>
      <c r="E131" s="16"/>
      <c r="F131" s="19"/>
      <c r="G131" s="15"/>
      <c r="J131" s="19"/>
      <c r="K131" s="19"/>
      <c r="L131" s="19"/>
      <c r="M131" s="21"/>
      <c r="N131" s="19"/>
      <c r="O131" s="19"/>
      <c r="P131" s="19"/>
      <c r="Q131" s="20"/>
      <c r="R131" s="20"/>
      <c r="S131" s="20"/>
      <c r="U131" s="20"/>
      <c r="V131" s="20"/>
    </row>
    <row r="132" spans="1:22" ht="12.75">
      <c r="A132" s="22"/>
      <c r="C132" s="19"/>
      <c r="D132" s="19"/>
      <c r="E132" s="19"/>
      <c r="F132" s="19"/>
      <c r="H132" s="25"/>
      <c r="J132" s="20"/>
      <c r="K132" s="19"/>
      <c r="L132" s="26"/>
      <c r="M132" s="19"/>
      <c r="N132" s="19"/>
      <c r="O132" s="19"/>
      <c r="P132" s="19"/>
      <c r="Q132" s="19"/>
      <c r="R132" s="19"/>
      <c r="S132" s="19"/>
      <c r="U132" s="20"/>
      <c r="V132" s="20"/>
    </row>
    <row r="133" spans="1:22" ht="12.75">
      <c r="A133" s="22"/>
      <c r="C133" s="19"/>
      <c r="D133" s="19"/>
      <c r="E133" s="19"/>
      <c r="F133" s="19"/>
      <c r="G133" s="19"/>
      <c r="H133" s="25"/>
      <c r="J133" s="20"/>
      <c r="K133" s="19"/>
      <c r="L133" s="26"/>
      <c r="M133" s="19"/>
      <c r="N133" s="19"/>
      <c r="O133" s="19"/>
      <c r="P133" s="19"/>
      <c r="Q133" s="19"/>
      <c r="R133" s="19"/>
      <c r="S133" s="19"/>
      <c r="U133" s="20"/>
      <c r="V133" s="20"/>
    </row>
    <row r="134" spans="1:22" ht="12.75">
      <c r="A134" s="22"/>
      <c r="C134" s="19"/>
      <c r="D134" s="19"/>
      <c r="E134" s="19"/>
      <c r="F134" s="19"/>
      <c r="H134" s="25"/>
      <c r="J134" s="20"/>
      <c r="K134" s="19"/>
      <c r="L134" s="26"/>
      <c r="M134" s="19"/>
      <c r="N134" s="19"/>
      <c r="O134" s="19"/>
      <c r="P134" s="19"/>
      <c r="Q134" s="19"/>
      <c r="R134" s="19"/>
      <c r="S134" s="19"/>
      <c r="U134" s="20"/>
      <c r="V134" s="20"/>
    </row>
    <row r="135" spans="1:12" ht="15" customHeight="1">
      <c r="A135" s="22"/>
      <c r="H135" s="22"/>
      <c r="J135" s="19"/>
      <c r="K135" s="19"/>
      <c r="L135" s="19"/>
    </row>
    <row r="136" spans="3:19" ht="12.75">
      <c r="C136" s="14"/>
      <c r="D136" s="15"/>
      <c r="E136" s="16"/>
      <c r="F136" s="19"/>
      <c r="G136" s="15"/>
      <c r="J136" s="17"/>
      <c r="K136" s="17"/>
      <c r="L136" s="17"/>
      <c r="M136" s="18"/>
      <c r="Q136" s="20"/>
      <c r="R136" s="20"/>
      <c r="S136" s="20"/>
    </row>
    <row r="137" spans="3:19" ht="12.75">
      <c r="C137" s="14"/>
      <c r="D137" s="15"/>
      <c r="E137" s="16"/>
      <c r="F137" s="19"/>
      <c r="G137" s="15"/>
      <c r="J137" s="19"/>
      <c r="K137" s="19"/>
      <c r="L137" s="19"/>
      <c r="M137" s="21"/>
      <c r="N137" s="19"/>
      <c r="O137" s="19"/>
      <c r="Q137" s="20"/>
      <c r="R137" s="20"/>
      <c r="S137" s="20"/>
    </row>
    <row r="138" spans="3:19" ht="12.75">
      <c r="C138" s="14"/>
      <c r="D138" s="15"/>
      <c r="E138" s="16"/>
      <c r="F138" s="19"/>
      <c r="G138" s="15"/>
      <c r="J138" s="19"/>
      <c r="K138" s="19"/>
      <c r="L138" s="19"/>
      <c r="M138" s="21"/>
      <c r="N138" s="19"/>
      <c r="O138" s="19"/>
      <c r="P138" s="19"/>
      <c r="Q138" s="20"/>
      <c r="R138" s="20"/>
      <c r="S138" s="20"/>
    </row>
    <row r="139" spans="3:19" ht="12.75">
      <c r="C139" s="14"/>
      <c r="D139" s="15"/>
      <c r="E139" s="16"/>
      <c r="F139" s="19"/>
      <c r="G139" s="15"/>
      <c r="J139" s="19"/>
      <c r="K139" s="19"/>
      <c r="L139" s="19"/>
      <c r="M139" s="21"/>
      <c r="N139" s="19"/>
      <c r="O139" s="19"/>
      <c r="P139" s="19"/>
      <c r="Q139" s="20"/>
      <c r="R139" s="20"/>
      <c r="S139" s="20"/>
    </row>
    <row r="140" spans="3:19" ht="12.75">
      <c r="C140" s="14"/>
      <c r="D140" s="15"/>
      <c r="E140" s="16"/>
      <c r="F140" s="19"/>
      <c r="G140" s="15"/>
      <c r="J140" s="19"/>
      <c r="K140" s="19"/>
      <c r="L140" s="19"/>
      <c r="M140" s="21"/>
      <c r="N140" s="19"/>
      <c r="O140" s="19"/>
      <c r="P140" s="19"/>
      <c r="Q140" s="20"/>
      <c r="R140" s="20"/>
      <c r="S140" s="20"/>
    </row>
    <row r="141" spans="3:19" ht="12.75">
      <c r="C141" s="14"/>
      <c r="D141" s="15"/>
      <c r="E141" s="16"/>
      <c r="F141" s="19"/>
      <c r="G141" s="15"/>
      <c r="J141" s="19"/>
      <c r="K141" s="19"/>
      <c r="L141" s="19"/>
      <c r="M141" s="21"/>
      <c r="N141" s="19"/>
      <c r="O141" s="19"/>
      <c r="P141" s="19"/>
      <c r="Q141" s="20"/>
      <c r="R141" s="20"/>
      <c r="S141" s="20"/>
    </row>
    <row r="142" spans="3:19" ht="12.75">
      <c r="C142" s="14"/>
      <c r="D142" s="15"/>
      <c r="E142" s="16"/>
      <c r="F142" s="19"/>
      <c r="G142" s="15"/>
      <c r="J142" s="19"/>
      <c r="K142" s="19"/>
      <c r="L142" s="19"/>
      <c r="M142" s="21"/>
      <c r="N142" s="19"/>
      <c r="O142" s="19"/>
      <c r="P142" s="19"/>
      <c r="Q142" s="20"/>
      <c r="R142" s="20"/>
      <c r="S142" s="20"/>
    </row>
    <row r="143" spans="3:19" ht="12.75">
      <c r="C143" s="14"/>
      <c r="D143" s="15"/>
      <c r="E143" s="16"/>
      <c r="F143" s="19"/>
      <c r="G143" s="15"/>
      <c r="J143" s="19"/>
      <c r="K143" s="19"/>
      <c r="L143" s="19"/>
      <c r="M143" s="21"/>
      <c r="N143" s="19"/>
      <c r="O143" s="19"/>
      <c r="P143" s="19"/>
      <c r="Q143" s="20"/>
      <c r="R143" s="20"/>
      <c r="S143" s="20"/>
    </row>
    <row r="144" spans="3:19" ht="12.75">
      <c r="C144" s="14"/>
      <c r="D144" s="15"/>
      <c r="E144" s="16"/>
      <c r="F144" s="19"/>
      <c r="G144" s="15"/>
      <c r="J144" s="19"/>
      <c r="K144" s="19"/>
      <c r="L144" s="19"/>
      <c r="M144" s="21"/>
      <c r="N144" s="19"/>
      <c r="O144" s="19"/>
      <c r="P144" s="19"/>
      <c r="Q144" s="20"/>
      <c r="R144" s="20"/>
      <c r="S144" s="20"/>
    </row>
    <row r="145" spans="3:19" ht="12.75">
      <c r="C145" s="14"/>
      <c r="D145" s="15"/>
      <c r="E145" s="16"/>
      <c r="F145" s="26"/>
      <c r="G145" s="15"/>
      <c r="J145" s="19"/>
      <c r="K145" s="19"/>
      <c r="L145" s="19"/>
      <c r="M145" s="21"/>
      <c r="N145" s="19"/>
      <c r="O145" s="19"/>
      <c r="P145" s="19"/>
      <c r="Q145" s="20"/>
      <c r="R145" s="20"/>
      <c r="S145" s="20"/>
    </row>
    <row r="146" spans="3:19" ht="12.75">
      <c r="C146" s="14"/>
      <c r="D146" s="15"/>
      <c r="E146" s="16"/>
      <c r="F146" s="19"/>
      <c r="G146" s="15"/>
      <c r="J146" s="19"/>
      <c r="K146" s="19"/>
      <c r="L146" s="19"/>
      <c r="M146" s="21"/>
      <c r="N146" s="19"/>
      <c r="O146" s="19"/>
      <c r="P146" s="19"/>
      <c r="Q146" s="20"/>
      <c r="R146" s="20"/>
      <c r="S146" s="20"/>
    </row>
    <row r="147" spans="1:19" ht="12.75">
      <c r="A147" s="22"/>
      <c r="C147" s="19"/>
      <c r="D147" s="19"/>
      <c r="E147" s="19"/>
      <c r="F147" s="19"/>
      <c r="H147" s="25"/>
      <c r="J147" s="20"/>
      <c r="K147" s="26"/>
      <c r="L147" s="26"/>
      <c r="M147" s="19"/>
      <c r="N147" s="19"/>
      <c r="O147" s="19"/>
      <c r="P147" s="19"/>
      <c r="Q147" s="20"/>
      <c r="R147" s="20"/>
      <c r="S147" s="20"/>
    </row>
    <row r="148" spans="8:10" ht="12.75">
      <c r="H148" s="22"/>
      <c r="J148" s="19"/>
    </row>
  </sheetData>
  <printOptions/>
  <pageMargins left="0.75" right="0.75" top="1" bottom="1" header="0.5" footer="0.5"/>
  <pageSetup fitToHeight="1" fitToWidth="1" horizontalDpi="600" verticalDpi="600" orientation="portrait" paperSize="9" scale="48" r:id="rId1"/>
</worksheet>
</file>

<file path=xl/worksheets/sheet43.xml><?xml version="1.0" encoding="utf-8"?>
<worksheet xmlns="http://schemas.openxmlformats.org/spreadsheetml/2006/main" xmlns:r="http://schemas.openxmlformats.org/officeDocument/2006/relationships">
  <sheetPr>
    <pageSetUpPr fitToPage="1"/>
  </sheetPr>
  <dimension ref="A1:V148"/>
  <sheetViews>
    <sheetView workbookViewId="0" topLeftCell="A1">
      <selection activeCell="E26" sqref="E26"/>
    </sheetView>
  </sheetViews>
  <sheetFormatPr defaultColWidth="9.140625" defaultRowHeight="12.75"/>
  <cols>
    <col min="1" max="2" width="9.140625" style="13" customWidth="1"/>
    <col min="3" max="3" width="13.28125" style="13" customWidth="1"/>
    <col min="4" max="4" width="9.140625" style="13" customWidth="1"/>
    <col min="5" max="5" width="14.57421875" style="13" customWidth="1"/>
    <col min="6" max="11" width="9.140625" style="13" customWidth="1"/>
    <col min="12" max="12" width="19.8515625" style="13" customWidth="1"/>
    <col min="13" max="13" width="16.8515625" style="13" customWidth="1"/>
    <col min="14" max="14" width="13.28125" style="13" customWidth="1"/>
    <col min="15" max="15" width="9.421875" style="13" customWidth="1"/>
    <col min="16" max="16384" width="9.140625" style="13" customWidth="1"/>
  </cols>
  <sheetData>
    <row r="1" spans="1:21" ht="12.75">
      <c r="A1" s="22" t="s">
        <v>451</v>
      </c>
      <c r="U1" s="22"/>
    </row>
    <row r="2" ht="12.75">
      <c r="A2" s="22"/>
    </row>
    <row r="3" spans="1:17" ht="12.75">
      <c r="A3" s="22" t="s">
        <v>264</v>
      </c>
      <c r="J3" s="22" t="s">
        <v>71</v>
      </c>
      <c r="K3" s="22"/>
      <c r="L3" s="22"/>
      <c r="M3" s="22" t="s">
        <v>276</v>
      </c>
      <c r="Q3" s="22"/>
    </row>
    <row r="4" spans="21:22" ht="12.75">
      <c r="U4" s="20"/>
      <c r="V4" s="20"/>
    </row>
    <row r="5" spans="3:22" ht="12.75">
      <c r="C5" s="13" t="s">
        <v>44</v>
      </c>
      <c r="D5" s="13" t="s">
        <v>45</v>
      </c>
      <c r="E5" s="13" t="s">
        <v>46</v>
      </c>
      <c r="F5" s="13" t="s">
        <v>47</v>
      </c>
      <c r="G5" s="22" t="s">
        <v>26</v>
      </c>
      <c r="H5" s="22" t="s">
        <v>27</v>
      </c>
      <c r="I5" s="22"/>
      <c r="J5" s="22" t="s">
        <v>73</v>
      </c>
      <c r="K5" s="22" t="s">
        <v>261</v>
      </c>
      <c r="L5" s="22"/>
      <c r="M5" s="22" t="s">
        <v>72</v>
      </c>
      <c r="N5" s="22" t="s">
        <v>48</v>
      </c>
      <c r="O5" s="22" t="s">
        <v>51</v>
      </c>
      <c r="U5" s="20"/>
      <c r="V5" s="20"/>
    </row>
    <row r="6" spans="21:22" ht="12.75">
      <c r="U6" s="20"/>
      <c r="V6" s="20"/>
    </row>
    <row r="7" spans="1:22" ht="12.75">
      <c r="A7" s="13">
        <v>1993</v>
      </c>
      <c r="C7" s="10">
        <v>2164094.5580999996</v>
      </c>
      <c r="D7" s="15">
        <v>886.7661316098731</v>
      </c>
      <c r="E7" s="16">
        <v>3676171260.4204464</v>
      </c>
      <c r="F7" s="19">
        <v>1</v>
      </c>
      <c r="G7" s="15">
        <v>0.7</v>
      </c>
      <c r="H7" s="15">
        <f aca="true" t="shared" si="0" ref="H7:H16">1-G7</f>
        <v>0.30000000000000004</v>
      </c>
      <c r="J7" s="17"/>
      <c r="K7" s="17">
        <v>1</v>
      </c>
      <c r="L7" s="17"/>
      <c r="M7" s="18"/>
      <c r="Q7" s="20"/>
      <c r="R7" s="20"/>
      <c r="S7" s="20"/>
      <c r="U7" s="20"/>
      <c r="V7" s="20"/>
    </row>
    <row r="8" spans="1:22" ht="12.75">
      <c r="A8" s="13">
        <f aca="true" t="shared" si="1" ref="A8:A16">A7+1</f>
        <v>1994</v>
      </c>
      <c r="C8" s="10">
        <v>2279186.31</v>
      </c>
      <c r="D8" s="15">
        <v>883.2190670834336</v>
      </c>
      <c r="E8" s="16">
        <v>3819331627.888913</v>
      </c>
      <c r="F8" s="19">
        <v>1.019588512355509</v>
      </c>
      <c r="G8" s="15">
        <f aca="true" t="shared" si="2" ref="G8:G16">G7</f>
        <v>0.7</v>
      </c>
      <c r="H8" s="15">
        <f t="shared" si="0"/>
        <v>0.30000000000000004</v>
      </c>
      <c r="J8" s="19">
        <f aca="true" t="shared" si="3" ref="J8:J16">LN(C8/C7)-(H8+H7)/2*LN(E8/E7)-(G8+G7)/2*LN(D8/D7)-(G8+G7)/2*LN(F8/F7)</f>
        <v>0.02958157343516324</v>
      </c>
      <c r="K8" s="19">
        <f aca="true" t="shared" si="4" ref="K8:K16">K7*(1+J8)</f>
        <v>1.0295815734351632</v>
      </c>
      <c r="L8" s="19"/>
      <c r="M8" s="19">
        <f aca="true" t="shared" si="5" ref="M8:M16">(G8+G7)/2*LN(D8/D7)</f>
        <v>-0.002805614978277175</v>
      </c>
      <c r="N8" s="19">
        <f aca="true" t="shared" si="6" ref="N8:N16">(H8+H7)/2*LN(E8/E7)</f>
        <v>0.011461094574865677</v>
      </c>
      <c r="O8" s="19">
        <f aca="true" t="shared" si="7" ref="O8:O16">(G8+G7)/2*LN(F8/F7)</f>
        <v>0.013579388649003633</v>
      </c>
      <c r="Q8" s="20"/>
      <c r="R8" s="20"/>
      <c r="S8" s="20"/>
      <c r="U8" s="20"/>
      <c r="V8" s="20"/>
    </row>
    <row r="9" spans="1:22" ht="12.75">
      <c r="A9" s="13">
        <f t="shared" si="1"/>
        <v>1995</v>
      </c>
      <c r="C9" s="10">
        <v>2372657</v>
      </c>
      <c r="D9" s="15">
        <v>892.4170113007934</v>
      </c>
      <c r="E9" s="16">
        <v>4022354755.797245</v>
      </c>
      <c r="F9" s="19">
        <v>1.0320816092931397</v>
      </c>
      <c r="G9" s="15">
        <f t="shared" si="2"/>
        <v>0.7</v>
      </c>
      <c r="H9" s="15">
        <f t="shared" si="0"/>
        <v>0.30000000000000004</v>
      </c>
      <c r="J9" s="19">
        <f t="shared" si="3"/>
        <v>0.008877097541406887</v>
      </c>
      <c r="K9" s="19">
        <f t="shared" si="4"/>
        <v>1.0387212694893824</v>
      </c>
      <c r="L9" s="19"/>
      <c r="M9" s="19">
        <f t="shared" si="5"/>
        <v>0.007252182607323021</v>
      </c>
      <c r="N9" s="19">
        <f t="shared" si="6"/>
        <v>0.015537615150047365</v>
      </c>
      <c r="O9" s="19">
        <f t="shared" si="7"/>
        <v>0.008525031244658645</v>
      </c>
      <c r="P9" s="19"/>
      <c r="Q9" s="20"/>
      <c r="R9" s="20"/>
      <c r="S9" s="20"/>
      <c r="U9" s="20"/>
      <c r="V9" s="20"/>
    </row>
    <row r="10" spans="1:22" ht="12.75">
      <c r="A10" s="13">
        <f t="shared" si="1"/>
        <v>1996</v>
      </c>
      <c r="C10" s="10">
        <v>2460053.201082056</v>
      </c>
      <c r="D10" s="15">
        <v>883.7601226256311</v>
      </c>
      <c r="E10" s="16">
        <v>4265435055.1898003</v>
      </c>
      <c r="F10" s="19">
        <v>1.0414108289086677</v>
      </c>
      <c r="G10" s="15">
        <f t="shared" si="2"/>
        <v>0.7</v>
      </c>
      <c r="H10" s="15">
        <f t="shared" si="0"/>
        <v>0.30000000000000004</v>
      </c>
      <c r="J10" s="19">
        <f t="shared" si="3"/>
        <v>0.019094010076898302</v>
      </c>
      <c r="K10" s="19">
        <f t="shared" si="4"/>
        <v>1.0585546238761012</v>
      </c>
      <c r="L10" s="19"/>
      <c r="M10" s="19">
        <f t="shared" si="5"/>
        <v>-0.006823497432555865</v>
      </c>
      <c r="N10" s="19">
        <f t="shared" si="6"/>
        <v>0.01760300710757192</v>
      </c>
      <c r="O10" s="19">
        <f t="shared" si="7"/>
        <v>0.00629903218117716</v>
      </c>
      <c r="P10" s="19"/>
      <c r="Q10" s="20"/>
      <c r="R10" s="20"/>
      <c r="S10" s="20"/>
      <c r="U10" s="20"/>
      <c r="V10" s="20"/>
    </row>
    <row r="11" spans="1:22" ht="12.75">
      <c r="A11" s="13">
        <f t="shared" si="1"/>
        <v>1997</v>
      </c>
      <c r="C11" s="10">
        <v>2577569.717021164</v>
      </c>
      <c r="D11" s="15">
        <v>879.2152560711709</v>
      </c>
      <c r="E11" s="16">
        <v>4563783165.652029</v>
      </c>
      <c r="F11" s="19">
        <v>1.0648192948693205</v>
      </c>
      <c r="G11" s="15">
        <f t="shared" si="2"/>
        <v>0.7</v>
      </c>
      <c r="H11" s="15">
        <f t="shared" si="0"/>
        <v>0.30000000000000004</v>
      </c>
      <c r="J11" s="19">
        <f t="shared" si="3"/>
        <v>0.014430704212519086</v>
      </c>
      <c r="K11" s="19">
        <f t="shared" si="4"/>
        <v>1.0738303125460518</v>
      </c>
      <c r="L11" s="19"/>
      <c r="M11" s="19">
        <f t="shared" si="5"/>
        <v>-0.0036091413122362383</v>
      </c>
      <c r="N11" s="19">
        <f t="shared" si="6"/>
        <v>0.020282321852021407</v>
      </c>
      <c r="O11" s="19">
        <f t="shared" si="7"/>
        <v>0.015560123935161244</v>
      </c>
      <c r="P11" s="19"/>
      <c r="Q11" s="20"/>
      <c r="R11" s="20"/>
      <c r="S11" s="20"/>
      <c r="U11" s="20"/>
      <c r="V11" s="20"/>
    </row>
    <row r="12" spans="1:22" ht="12.75">
      <c r="A12" s="13">
        <f t="shared" si="1"/>
        <v>1998</v>
      </c>
      <c r="C12" s="10">
        <v>2668803.591600994</v>
      </c>
      <c r="D12" s="15">
        <v>879.3234671796105</v>
      </c>
      <c r="E12" s="16">
        <v>4901238581.613424</v>
      </c>
      <c r="F12" s="19">
        <v>1.0970522466255461</v>
      </c>
      <c r="G12" s="15">
        <f t="shared" si="2"/>
        <v>0.7</v>
      </c>
      <c r="H12" s="15">
        <f t="shared" si="0"/>
        <v>0.30000000000000004</v>
      </c>
      <c r="J12" s="19">
        <f t="shared" si="3"/>
        <v>-0.007578850455137665</v>
      </c>
      <c r="K12" s="19">
        <f t="shared" si="4"/>
        <v>1.0656919131930715</v>
      </c>
      <c r="L12" s="19"/>
      <c r="M12" s="19">
        <f t="shared" si="5"/>
        <v>8.61485448138095E-05</v>
      </c>
      <c r="N12" s="19">
        <f t="shared" si="6"/>
        <v>0.021400807133617836</v>
      </c>
      <c r="O12" s="19">
        <f t="shared" si="7"/>
        <v>0.02087518887783604</v>
      </c>
      <c r="P12" s="19"/>
      <c r="Q12" s="20"/>
      <c r="R12" s="20"/>
      <c r="S12" s="20"/>
      <c r="U12" s="20"/>
      <c r="V12" s="20"/>
    </row>
    <row r="13" spans="1:22" ht="12.75">
      <c r="A13" s="13">
        <f t="shared" si="1"/>
        <v>1999</v>
      </c>
      <c r="C13" s="10">
        <v>2818198.9676663172</v>
      </c>
      <c r="D13" s="15">
        <v>890.1445780235634</v>
      </c>
      <c r="E13" s="16">
        <v>5356531196.819725</v>
      </c>
      <c r="F13" s="19">
        <v>1.1256345528111371</v>
      </c>
      <c r="G13" s="15">
        <f t="shared" si="2"/>
        <v>0.7</v>
      </c>
      <c r="H13" s="15">
        <f t="shared" si="0"/>
        <v>0.30000000000000004</v>
      </c>
      <c r="J13" s="19">
        <f t="shared" si="3"/>
        <v>0.0012533090598497026</v>
      </c>
      <c r="K13" s="19">
        <f t="shared" si="4"/>
        <v>1.067027554522885</v>
      </c>
      <c r="L13" s="19"/>
      <c r="M13" s="19">
        <f t="shared" si="5"/>
        <v>0.008561750569888215</v>
      </c>
      <c r="N13" s="19">
        <f t="shared" si="6"/>
        <v>0.0266485967627198</v>
      </c>
      <c r="O13" s="19">
        <f t="shared" si="7"/>
        <v>0.018004081621615</v>
      </c>
      <c r="P13" s="19"/>
      <c r="Q13" s="20"/>
      <c r="R13" s="20"/>
      <c r="S13" s="20"/>
      <c r="U13" s="20"/>
      <c r="V13" s="20"/>
    </row>
    <row r="14" spans="1:22" ht="12.75">
      <c r="A14" s="13">
        <f t="shared" si="1"/>
        <v>2000</v>
      </c>
      <c r="C14" s="10">
        <v>2928821.050097774</v>
      </c>
      <c r="D14" s="15">
        <v>900.1</v>
      </c>
      <c r="E14" s="16">
        <v>5782749177.526379</v>
      </c>
      <c r="F14" s="19">
        <v>1.1510077031842005</v>
      </c>
      <c r="G14" s="15">
        <f t="shared" si="2"/>
        <v>0.7</v>
      </c>
      <c r="H14" s="15">
        <f t="shared" si="0"/>
        <v>0.30000000000000004</v>
      </c>
      <c r="J14" s="19">
        <f t="shared" si="3"/>
        <v>-0.007855837580262894</v>
      </c>
      <c r="K14" s="19">
        <f t="shared" si="4"/>
        <v>1.058645159360888</v>
      </c>
      <c r="L14" s="19"/>
      <c r="M14" s="19">
        <f t="shared" si="5"/>
        <v>0.007785380058741212</v>
      </c>
      <c r="N14" s="19">
        <f t="shared" si="6"/>
        <v>0.022968781514010345</v>
      </c>
      <c r="O14" s="19">
        <f t="shared" si="7"/>
        <v>0.015603629113666794</v>
      </c>
      <c r="P14" s="19"/>
      <c r="Q14" s="20"/>
      <c r="R14" s="20"/>
      <c r="S14" s="20"/>
      <c r="U14" s="20"/>
      <c r="V14" s="20"/>
    </row>
    <row r="15" spans="1:22" ht="12.75">
      <c r="A15" s="13">
        <f t="shared" si="1"/>
        <v>2001</v>
      </c>
      <c r="C15" s="10">
        <v>3006181.355828385</v>
      </c>
      <c r="D15" s="15">
        <v>904.3</v>
      </c>
      <c r="E15" s="16">
        <v>6211398277.6616955</v>
      </c>
      <c r="F15" s="19">
        <v>1.1748145194498736</v>
      </c>
      <c r="G15" s="15">
        <f t="shared" si="2"/>
        <v>0.7</v>
      </c>
      <c r="H15" s="15">
        <f t="shared" si="0"/>
        <v>0.30000000000000004</v>
      </c>
      <c r="J15" s="19">
        <f t="shared" si="3"/>
        <v>-0.012970825111925691</v>
      </c>
      <c r="K15" s="19">
        <f t="shared" si="4"/>
        <v>1.0449136581432312</v>
      </c>
      <c r="L15" s="19"/>
      <c r="M15" s="19">
        <f t="shared" si="5"/>
        <v>0.0032587068383763715</v>
      </c>
      <c r="N15" s="19">
        <f t="shared" si="6"/>
        <v>0.02145204906868833</v>
      </c>
      <c r="O15" s="19">
        <f t="shared" si="7"/>
        <v>0.014330719920652593</v>
      </c>
      <c r="P15" s="19"/>
      <c r="Q15" s="20"/>
      <c r="R15" s="20"/>
      <c r="S15" s="20"/>
      <c r="U15" s="20"/>
      <c r="V15" s="20"/>
    </row>
    <row r="16" spans="1:22" ht="12.75">
      <c r="A16" s="13">
        <f t="shared" si="1"/>
        <v>2002</v>
      </c>
      <c r="C16" s="10">
        <v>3106567.710168912</v>
      </c>
      <c r="D16" s="15">
        <v>899.5</v>
      </c>
      <c r="E16" s="16">
        <v>6634780780.866711</v>
      </c>
      <c r="F16" s="19">
        <v>1.2115178102489315</v>
      </c>
      <c r="G16" s="15">
        <f t="shared" si="2"/>
        <v>0.7</v>
      </c>
      <c r="H16" s="15">
        <f t="shared" si="0"/>
        <v>0.30000000000000004</v>
      </c>
      <c r="J16" s="19">
        <f t="shared" si="3"/>
        <v>-0.004743112338800579</v>
      </c>
      <c r="K16" s="19">
        <f t="shared" si="4"/>
        <v>1.039957515278311</v>
      </c>
      <c r="L16" s="19"/>
      <c r="M16" s="19">
        <f t="shared" si="5"/>
        <v>-0.003725477249092594</v>
      </c>
      <c r="N16" s="19">
        <f t="shared" si="6"/>
        <v>0.019781877403451522</v>
      </c>
      <c r="O16" s="19">
        <f t="shared" si="7"/>
        <v>0.021534577965436126</v>
      </c>
      <c r="P16" s="19"/>
      <c r="Q16" s="20"/>
      <c r="R16" s="20"/>
      <c r="S16" s="20"/>
      <c r="U16" s="20"/>
      <c r="V16" s="20"/>
    </row>
    <row r="17" spans="3:22" ht="12.75">
      <c r="C17" s="14"/>
      <c r="D17" s="15"/>
      <c r="E17" s="16"/>
      <c r="F17" s="19"/>
      <c r="G17" s="15"/>
      <c r="J17" s="19"/>
      <c r="K17" s="19"/>
      <c r="L17" s="19"/>
      <c r="M17" s="21"/>
      <c r="N17" s="19"/>
      <c r="O17" s="19"/>
      <c r="P17" s="19"/>
      <c r="Q17" s="20"/>
      <c r="R17" s="20"/>
      <c r="S17" s="20"/>
      <c r="U17" s="20"/>
      <c r="V17" s="20"/>
    </row>
    <row r="18" spans="1:22" ht="12.75">
      <c r="A18" s="22" t="s">
        <v>262</v>
      </c>
      <c r="C18" s="19">
        <f>EXP(1/9*LN(C16/C7))-1</f>
        <v>0.0409861575526973</v>
      </c>
      <c r="D18" s="19">
        <f>EXP(1/9*LN(D16/D7))-1</f>
        <v>0.0015854519540006162</v>
      </c>
      <c r="E18" s="19">
        <f>EXP(1/9*LN(E16/E7))-1</f>
        <v>0.06780589919221636</v>
      </c>
      <c r="F18" s="19">
        <f>EXP(1/9*LN(F16/F7))-1</f>
        <v>0.02154820965833415</v>
      </c>
      <c r="H18" s="25"/>
      <c r="J18" s="20"/>
      <c r="K18" s="19">
        <f>EXP(1/9*LN(K16/K7))-1</f>
        <v>0.004362807412155778</v>
      </c>
      <c r="L18" s="26"/>
      <c r="M18" s="19">
        <f>AVERAGE(M8:M16)</f>
        <v>0.0011089375163311952</v>
      </c>
      <c r="N18" s="19">
        <f>AVERAGE(N8:N16)</f>
        <v>0.0196817945074438</v>
      </c>
      <c r="O18" s="19">
        <f>AVERAGE(O8:O16)</f>
        <v>0.014923530389911914</v>
      </c>
      <c r="P18" s="19"/>
      <c r="Q18" s="19"/>
      <c r="R18" s="19"/>
      <c r="S18" s="19"/>
      <c r="U18" s="20"/>
      <c r="V18" s="20"/>
    </row>
    <row r="19" spans="1:22" ht="12.75">
      <c r="A19" s="22" t="s">
        <v>274</v>
      </c>
      <c r="C19" s="19"/>
      <c r="D19" s="19">
        <f>D18*G7</f>
        <v>0.0011098163678004312</v>
      </c>
      <c r="E19" s="19">
        <f>E18*H7</f>
        <v>0.02034176975766491</v>
      </c>
      <c r="F19" s="19">
        <f>F18*G7</f>
        <v>0.015083746760833903</v>
      </c>
      <c r="G19" s="19"/>
      <c r="H19" s="25"/>
      <c r="J19" s="20"/>
      <c r="K19" s="19">
        <f>K18</f>
        <v>0.004362807412155778</v>
      </c>
      <c r="L19" s="26"/>
      <c r="M19" s="19"/>
      <c r="N19" s="19"/>
      <c r="O19" s="19"/>
      <c r="P19" s="19"/>
      <c r="Q19" s="19"/>
      <c r="R19" s="19"/>
      <c r="S19" s="19"/>
      <c r="U19" s="20"/>
      <c r="V19" s="20"/>
    </row>
    <row r="20" spans="1:22" ht="12.75">
      <c r="A20" s="22" t="s">
        <v>266</v>
      </c>
      <c r="C20" s="19"/>
      <c r="D20" s="19"/>
      <c r="E20" s="19"/>
      <c r="F20" s="19"/>
      <c r="H20" s="25"/>
      <c r="J20" s="20"/>
      <c r="K20" s="19">
        <f>EXP(1/8*LN(K15/K7))-1</f>
        <v>0.005506889756398126</v>
      </c>
      <c r="L20" s="26"/>
      <c r="M20" s="19"/>
      <c r="N20" s="19"/>
      <c r="O20" s="19"/>
      <c r="P20" s="19"/>
      <c r="Q20" s="19"/>
      <c r="R20" s="19"/>
      <c r="S20" s="19"/>
      <c r="U20" s="20"/>
      <c r="V20" s="20"/>
    </row>
    <row r="21" spans="1:12" ht="15" customHeight="1">
      <c r="A21" s="22" t="s">
        <v>263</v>
      </c>
      <c r="H21" s="22"/>
      <c r="J21" s="19"/>
      <c r="K21" s="19">
        <f>EXP(1/8*LN(K16/K8))-1</f>
        <v>0.0012542085255289326</v>
      </c>
      <c r="L21" s="19"/>
    </row>
    <row r="22" ht="12.75">
      <c r="A22" s="22"/>
    </row>
    <row r="23" spans="1:13" ht="12.75">
      <c r="A23" s="22"/>
      <c r="J23" s="22"/>
      <c r="K23" s="22"/>
      <c r="L23" s="22"/>
      <c r="M23" s="22"/>
    </row>
    <row r="24" ht="12.75">
      <c r="Q24" s="22"/>
    </row>
    <row r="25" spans="7:15" ht="12.75">
      <c r="G25" s="22"/>
      <c r="H25" s="22"/>
      <c r="I25" s="22"/>
      <c r="J25" s="22"/>
      <c r="K25" s="22"/>
      <c r="L25" s="22"/>
      <c r="M25" s="22"/>
      <c r="N25" s="22"/>
      <c r="O25" s="22"/>
    </row>
    <row r="27" spans="3:13" ht="12.75">
      <c r="C27" s="14"/>
      <c r="D27" s="15"/>
      <c r="E27" s="16"/>
      <c r="F27" s="19"/>
      <c r="G27" s="15"/>
      <c r="H27" s="15"/>
      <c r="J27" s="17"/>
      <c r="K27" s="17"/>
      <c r="L27" s="17"/>
      <c r="M27" s="18"/>
    </row>
    <row r="28" spans="3:19" ht="12.75">
      <c r="C28" s="14"/>
      <c r="D28" s="15"/>
      <c r="E28" s="16"/>
      <c r="F28" s="19"/>
      <c r="G28" s="15"/>
      <c r="H28" s="15"/>
      <c r="J28" s="19"/>
      <c r="K28" s="19"/>
      <c r="L28" s="19"/>
      <c r="M28" s="19"/>
      <c r="N28" s="19"/>
      <c r="O28" s="19"/>
      <c r="Q28" s="20"/>
      <c r="R28" s="20"/>
      <c r="S28" s="20"/>
    </row>
    <row r="29" spans="3:19" ht="12.75">
      <c r="C29" s="14"/>
      <c r="D29" s="15"/>
      <c r="E29" s="16"/>
      <c r="F29" s="19"/>
      <c r="G29" s="15"/>
      <c r="H29" s="15"/>
      <c r="J29" s="19"/>
      <c r="K29" s="19"/>
      <c r="L29" s="19"/>
      <c r="M29" s="19"/>
      <c r="N29" s="19"/>
      <c r="O29" s="19"/>
      <c r="Q29" s="20"/>
      <c r="R29" s="20"/>
      <c r="S29" s="20"/>
    </row>
    <row r="30" spans="3:19" ht="12.75">
      <c r="C30" s="14"/>
      <c r="D30" s="15"/>
      <c r="E30" s="16"/>
      <c r="F30" s="19"/>
      <c r="G30" s="15"/>
      <c r="H30" s="15"/>
      <c r="J30" s="19"/>
      <c r="K30" s="19"/>
      <c r="L30" s="19"/>
      <c r="M30" s="19"/>
      <c r="N30" s="19"/>
      <c r="O30" s="19"/>
      <c r="P30" s="19"/>
      <c r="Q30" s="20"/>
      <c r="R30" s="20"/>
      <c r="S30" s="20"/>
    </row>
    <row r="31" spans="3:19" ht="12.75">
      <c r="C31" s="14"/>
      <c r="D31" s="15"/>
      <c r="E31" s="16"/>
      <c r="F31" s="19"/>
      <c r="G31" s="15"/>
      <c r="H31" s="15"/>
      <c r="J31" s="19"/>
      <c r="K31" s="19"/>
      <c r="L31" s="19"/>
      <c r="M31" s="19"/>
      <c r="N31" s="19"/>
      <c r="O31" s="19"/>
      <c r="P31" s="19"/>
      <c r="Q31" s="20"/>
      <c r="R31" s="20"/>
      <c r="S31" s="20"/>
    </row>
    <row r="32" spans="3:19" ht="12.75">
      <c r="C32" s="14"/>
      <c r="D32" s="15"/>
      <c r="E32" s="16"/>
      <c r="F32" s="19"/>
      <c r="G32" s="15"/>
      <c r="H32" s="15"/>
      <c r="J32" s="19"/>
      <c r="K32" s="19"/>
      <c r="L32" s="19"/>
      <c r="M32" s="19"/>
      <c r="N32" s="19"/>
      <c r="O32" s="19"/>
      <c r="P32" s="19"/>
      <c r="Q32" s="20"/>
      <c r="R32" s="20"/>
      <c r="S32" s="20"/>
    </row>
    <row r="33" spans="3:19" ht="12.75">
      <c r="C33" s="14"/>
      <c r="D33" s="15"/>
      <c r="E33" s="16"/>
      <c r="F33" s="19"/>
      <c r="G33" s="15"/>
      <c r="H33" s="15"/>
      <c r="J33" s="19"/>
      <c r="K33" s="19"/>
      <c r="L33" s="19"/>
      <c r="M33" s="19"/>
      <c r="N33" s="19"/>
      <c r="O33" s="19"/>
      <c r="P33" s="19"/>
      <c r="Q33" s="20"/>
      <c r="R33" s="20"/>
      <c r="S33" s="20"/>
    </row>
    <row r="34" spans="3:19" ht="12.75">
      <c r="C34" s="14"/>
      <c r="D34" s="15"/>
      <c r="E34" s="16"/>
      <c r="F34" s="19"/>
      <c r="G34" s="15"/>
      <c r="H34" s="15"/>
      <c r="J34" s="19"/>
      <c r="K34" s="19"/>
      <c r="L34" s="19"/>
      <c r="M34" s="19"/>
      <c r="N34" s="19"/>
      <c r="O34" s="19"/>
      <c r="P34" s="19"/>
      <c r="Q34" s="20"/>
      <c r="R34" s="20"/>
      <c r="S34" s="20"/>
    </row>
    <row r="35" spans="3:19" ht="12.75">
      <c r="C35" s="14"/>
      <c r="D35" s="15"/>
      <c r="E35" s="16"/>
      <c r="F35" s="19"/>
      <c r="G35" s="15"/>
      <c r="H35" s="15"/>
      <c r="J35" s="19"/>
      <c r="K35" s="19"/>
      <c r="L35" s="19"/>
      <c r="M35" s="19"/>
      <c r="N35" s="19"/>
      <c r="O35" s="19"/>
      <c r="P35" s="19"/>
      <c r="Q35" s="20"/>
      <c r="R35" s="20"/>
      <c r="S35" s="20"/>
    </row>
    <row r="36" spans="3:19" ht="12.75">
      <c r="C36" s="14"/>
      <c r="D36" s="15"/>
      <c r="E36" s="16"/>
      <c r="F36" s="19"/>
      <c r="G36" s="15"/>
      <c r="H36" s="15"/>
      <c r="J36" s="19"/>
      <c r="K36" s="19"/>
      <c r="L36" s="19"/>
      <c r="M36" s="19"/>
      <c r="N36" s="19"/>
      <c r="O36" s="19"/>
      <c r="P36" s="19"/>
      <c r="Q36" s="20"/>
      <c r="R36" s="20"/>
      <c r="S36" s="20"/>
    </row>
    <row r="37" spans="3:19" ht="12.75">
      <c r="C37" s="14"/>
      <c r="D37" s="15"/>
      <c r="E37" s="16"/>
      <c r="F37" s="19"/>
      <c r="G37" s="15"/>
      <c r="J37" s="19"/>
      <c r="K37" s="19"/>
      <c r="L37" s="19"/>
      <c r="M37" s="21"/>
      <c r="N37" s="19"/>
      <c r="O37" s="19"/>
      <c r="P37" s="19"/>
      <c r="Q37" s="20"/>
      <c r="R37" s="20"/>
      <c r="S37" s="20"/>
    </row>
    <row r="38" spans="1:19" ht="12.75">
      <c r="A38" s="22"/>
      <c r="C38" s="19"/>
      <c r="D38" s="19"/>
      <c r="E38" s="19"/>
      <c r="F38" s="19"/>
      <c r="H38" s="25"/>
      <c r="J38" s="20"/>
      <c r="K38" s="19"/>
      <c r="L38" s="26"/>
      <c r="M38" s="19"/>
      <c r="N38" s="19"/>
      <c r="O38" s="19"/>
      <c r="P38" s="19"/>
      <c r="Q38" s="20"/>
      <c r="R38" s="20"/>
      <c r="S38" s="20"/>
    </row>
    <row r="39" spans="1:19" ht="12.75">
      <c r="A39" s="22"/>
      <c r="H39" s="22"/>
      <c r="J39" s="19"/>
      <c r="K39" s="19"/>
      <c r="L39" s="19"/>
      <c r="P39" s="19"/>
      <c r="Q39" s="20"/>
      <c r="R39" s="20"/>
      <c r="S39" s="20"/>
    </row>
    <row r="40" spans="3:15" ht="12.75">
      <c r="C40" s="19"/>
      <c r="D40" s="19"/>
      <c r="F40" s="19"/>
      <c r="G40" s="15"/>
      <c r="H40" s="19"/>
      <c r="I40" s="19"/>
      <c r="J40" s="19"/>
      <c r="K40" s="19"/>
      <c r="L40" s="19"/>
      <c r="M40" s="15"/>
      <c r="N40" s="15"/>
      <c r="O40" s="15"/>
    </row>
    <row r="41" spans="1:17" ht="12.75">
      <c r="A41" s="22"/>
      <c r="J41" s="22"/>
      <c r="K41" s="22"/>
      <c r="L41" s="22"/>
      <c r="M41" s="22"/>
      <c r="Q41" s="22"/>
    </row>
    <row r="43" spans="7:15" ht="12.75">
      <c r="G43" s="22"/>
      <c r="H43" s="22"/>
      <c r="I43" s="22"/>
      <c r="J43" s="22"/>
      <c r="K43" s="22"/>
      <c r="L43" s="22"/>
      <c r="M43" s="22"/>
      <c r="N43" s="22"/>
      <c r="O43" s="22"/>
    </row>
    <row r="45" spans="3:19" ht="12.75">
      <c r="C45" s="14"/>
      <c r="D45" s="15"/>
      <c r="E45" s="16"/>
      <c r="F45" s="1"/>
      <c r="G45" s="15"/>
      <c r="H45" s="15"/>
      <c r="J45" s="17"/>
      <c r="K45" s="17"/>
      <c r="L45" s="17"/>
      <c r="M45" s="18"/>
      <c r="Q45" s="20"/>
      <c r="R45" s="20"/>
      <c r="S45" s="20"/>
    </row>
    <row r="46" spans="3:19" ht="12.75">
      <c r="C46" s="14"/>
      <c r="D46" s="15"/>
      <c r="E46" s="16"/>
      <c r="F46" s="1"/>
      <c r="G46" s="15"/>
      <c r="H46" s="15"/>
      <c r="J46" s="19"/>
      <c r="K46" s="19"/>
      <c r="L46" s="19"/>
      <c r="M46" s="19"/>
      <c r="N46" s="19"/>
      <c r="O46" s="19"/>
      <c r="Q46" s="20"/>
      <c r="R46" s="20"/>
      <c r="S46" s="20"/>
    </row>
    <row r="47" spans="3:19" ht="12.75">
      <c r="C47" s="14"/>
      <c r="D47" s="15"/>
      <c r="E47" s="16"/>
      <c r="F47" s="1"/>
      <c r="G47" s="15"/>
      <c r="H47" s="15"/>
      <c r="J47" s="19"/>
      <c r="K47" s="19"/>
      <c r="L47" s="19"/>
      <c r="M47" s="19"/>
      <c r="N47" s="19"/>
      <c r="O47" s="19"/>
      <c r="P47" s="19"/>
      <c r="Q47" s="20"/>
      <c r="R47" s="20"/>
      <c r="S47" s="20"/>
    </row>
    <row r="48" spans="3:19" ht="12.75">
      <c r="C48" s="14"/>
      <c r="D48" s="15"/>
      <c r="E48" s="16"/>
      <c r="F48" s="1"/>
      <c r="G48" s="15"/>
      <c r="H48" s="15"/>
      <c r="J48" s="19"/>
      <c r="K48" s="19"/>
      <c r="L48" s="19"/>
      <c r="M48" s="19"/>
      <c r="N48" s="19"/>
      <c r="O48" s="19"/>
      <c r="P48" s="19"/>
      <c r="Q48" s="20"/>
      <c r="R48" s="20"/>
      <c r="S48" s="20"/>
    </row>
    <row r="49" spans="3:19" ht="12.75">
      <c r="C49" s="14"/>
      <c r="D49" s="15"/>
      <c r="E49" s="16"/>
      <c r="F49" s="1"/>
      <c r="G49" s="15"/>
      <c r="H49" s="15"/>
      <c r="J49" s="19"/>
      <c r="K49" s="19"/>
      <c r="L49" s="19"/>
      <c r="M49" s="19"/>
      <c r="N49" s="19"/>
      <c r="O49" s="19"/>
      <c r="P49" s="19"/>
      <c r="Q49" s="20"/>
      <c r="R49" s="20"/>
      <c r="S49" s="20"/>
    </row>
    <row r="50" spans="3:19" ht="12.75">
      <c r="C50" s="14"/>
      <c r="D50" s="15"/>
      <c r="E50" s="16"/>
      <c r="F50" s="1"/>
      <c r="G50" s="15"/>
      <c r="H50" s="15"/>
      <c r="J50" s="19"/>
      <c r="K50" s="19"/>
      <c r="L50" s="19"/>
      <c r="M50" s="19"/>
      <c r="N50" s="19"/>
      <c r="O50" s="19"/>
      <c r="P50" s="19"/>
      <c r="Q50" s="20"/>
      <c r="R50" s="20"/>
      <c r="S50" s="20"/>
    </row>
    <row r="51" spans="3:19" ht="12.75">
      <c r="C51" s="14"/>
      <c r="D51" s="15"/>
      <c r="E51" s="16"/>
      <c r="F51" s="1"/>
      <c r="G51" s="15"/>
      <c r="H51" s="15"/>
      <c r="J51" s="19"/>
      <c r="K51" s="19"/>
      <c r="L51" s="19"/>
      <c r="M51" s="19"/>
      <c r="N51" s="19"/>
      <c r="O51" s="19"/>
      <c r="P51" s="19"/>
      <c r="Q51" s="20"/>
      <c r="R51" s="20"/>
      <c r="S51" s="20"/>
    </row>
    <row r="52" spans="3:19" ht="12.75">
      <c r="C52" s="14"/>
      <c r="D52" s="15"/>
      <c r="E52" s="16"/>
      <c r="F52" s="1"/>
      <c r="G52" s="15"/>
      <c r="H52" s="15"/>
      <c r="J52" s="19"/>
      <c r="K52" s="19"/>
      <c r="L52" s="19"/>
      <c r="M52" s="19"/>
      <c r="N52" s="19"/>
      <c r="O52" s="19"/>
      <c r="P52" s="19"/>
      <c r="Q52" s="20"/>
      <c r="R52" s="20"/>
      <c r="S52" s="20"/>
    </row>
    <row r="53" spans="3:19" ht="12.75">
      <c r="C53" s="14"/>
      <c r="D53" s="15"/>
      <c r="E53" s="16"/>
      <c r="F53" s="1"/>
      <c r="G53" s="15"/>
      <c r="H53" s="15"/>
      <c r="J53" s="19"/>
      <c r="K53" s="19"/>
      <c r="L53" s="19"/>
      <c r="M53" s="19"/>
      <c r="N53" s="19"/>
      <c r="O53" s="19"/>
      <c r="P53" s="19"/>
      <c r="Q53" s="20"/>
      <c r="R53" s="20"/>
      <c r="S53" s="20"/>
    </row>
    <row r="54" spans="3:19" ht="12.75">
      <c r="C54" s="14"/>
      <c r="D54" s="15"/>
      <c r="E54" s="16"/>
      <c r="F54" s="19"/>
      <c r="G54" s="15"/>
      <c r="J54" s="19"/>
      <c r="K54" s="19"/>
      <c r="L54" s="19"/>
      <c r="M54" s="19"/>
      <c r="N54" s="19"/>
      <c r="O54" s="19"/>
      <c r="P54" s="19"/>
      <c r="Q54" s="20"/>
      <c r="R54" s="20"/>
      <c r="S54" s="20"/>
    </row>
    <row r="55" spans="1:19" ht="12.75">
      <c r="A55" s="22"/>
      <c r="C55" s="19"/>
      <c r="D55" s="19"/>
      <c r="E55" s="19"/>
      <c r="F55" s="19"/>
      <c r="H55" s="25"/>
      <c r="J55" s="20"/>
      <c r="K55" s="19"/>
      <c r="L55" s="26"/>
      <c r="M55" s="21"/>
      <c r="N55" s="19"/>
      <c r="O55" s="19"/>
      <c r="P55" s="19"/>
      <c r="Q55" s="19"/>
      <c r="R55" s="19"/>
      <c r="S55" s="19"/>
    </row>
    <row r="56" spans="1:22" ht="12.75">
      <c r="A56" s="22"/>
      <c r="C56" s="19"/>
      <c r="D56" s="19"/>
      <c r="E56" s="19"/>
      <c r="F56" s="19"/>
      <c r="G56" s="19"/>
      <c r="H56" s="25"/>
      <c r="J56" s="20"/>
      <c r="K56" s="19"/>
      <c r="L56" s="26"/>
      <c r="M56" s="19"/>
      <c r="N56" s="19"/>
      <c r="O56" s="19"/>
      <c r="P56" s="19"/>
      <c r="Q56" s="19"/>
      <c r="R56" s="19"/>
      <c r="S56" s="19"/>
      <c r="U56" s="20"/>
      <c r="V56" s="20"/>
    </row>
    <row r="57" spans="1:12" ht="15" customHeight="1">
      <c r="A57" s="22"/>
      <c r="H57" s="22"/>
      <c r="J57" s="19"/>
      <c r="K57" s="19"/>
      <c r="L57" s="19"/>
    </row>
    <row r="58" spans="1:19" ht="12.75">
      <c r="A58" s="22"/>
      <c r="C58" s="19"/>
      <c r="D58" s="19"/>
      <c r="E58" s="19"/>
      <c r="F58" s="19"/>
      <c r="H58" s="25"/>
      <c r="J58" s="19"/>
      <c r="K58" s="26"/>
      <c r="L58" s="26"/>
      <c r="M58" s="19"/>
      <c r="N58" s="19"/>
      <c r="O58" s="19"/>
      <c r="P58" s="19"/>
      <c r="Q58" s="20"/>
      <c r="R58" s="20"/>
      <c r="S58" s="20"/>
    </row>
    <row r="59" spans="1:17" ht="12.75">
      <c r="A59" s="22"/>
      <c r="J59" s="22"/>
      <c r="K59" s="22"/>
      <c r="L59" s="22"/>
      <c r="M59" s="22"/>
      <c r="Q59" s="22"/>
    </row>
    <row r="61" spans="7:15" ht="12.75">
      <c r="G61" s="22"/>
      <c r="H61" s="22"/>
      <c r="I61" s="22"/>
      <c r="J61" s="22"/>
      <c r="K61" s="22"/>
      <c r="L61" s="22"/>
      <c r="M61" s="22"/>
      <c r="N61" s="22"/>
      <c r="O61" s="22"/>
    </row>
    <row r="63" spans="3:19" ht="12.75">
      <c r="C63" s="14"/>
      <c r="D63" s="15"/>
      <c r="E63" s="16"/>
      <c r="F63" s="1"/>
      <c r="G63" s="15"/>
      <c r="H63" s="15"/>
      <c r="J63" s="17"/>
      <c r="K63" s="17"/>
      <c r="L63" s="17"/>
      <c r="M63" s="18"/>
      <c r="Q63" s="20"/>
      <c r="R63" s="20"/>
      <c r="S63" s="20"/>
    </row>
    <row r="64" spans="3:19" ht="12.75">
      <c r="C64" s="14"/>
      <c r="D64" s="15"/>
      <c r="E64" s="16"/>
      <c r="F64" s="1"/>
      <c r="G64" s="15"/>
      <c r="H64" s="15"/>
      <c r="J64" s="19"/>
      <c r="K64" s="19"/>
      <c r="L64" s="19"/>
      <c r="M64" s="19"/>
      <c r="N64" s="19"/>
      <c r="O64" s="19"/>
      <c r="Q64" s="20"/>
      <c r="R64" s="20"/>
      <c r="S64" s="20"/>
    </row>
    <row r="65" spans="3:19" ht="12.75">
      <c r="C65" s="14"/>
      <c r="D65" s="15"/>
      <c r="E65" s="16"/>
      <c r="F65" s="1"/>
      <c r="G65" s="15"/>
      <c r="H65" s="15"/>
      <c r="J65" s="19"/>
      <c r="K65" s="19"/>
      <c r="L65" s="19"/>
      <c r="M65" s="19"/>
      <c r="N65" s="19"/>
      <c r="O65" s="19"/>
      <c r="P65" s="19"/>
      <c r="Q65" s="20"/>
      <c r="R65" s="20"/>
      <c r="S65" s="20"/>
    </row>
    <row r="66" spans="3:19" ht="12.75">
      <c r="C66" s="14"/>
      <c r="D66" s="15"/>
      <c r="E66" s="16"/>
      <c r="F66" s="1"/>
      <c r="G66" s="15"/>
      <c r="H66" s="15"/>
      <c r="J66" s="19"/>
      <c r="K66" s="19"/>
      <c r="L66" s="19"/>
      <c r="M66" s="19"/>
      <c r="N66" s="19"/>
      <c r="O66" s="19"/>
      <c r="P66" s="19"/>
      <c r="Q66" s="20"/>
      <c r="R66" s="20"/>
      <c r="S66" s="20"/>
    </row>
    <row r="67" spans="3:19" ht="12.75">
      <c r="C67" s="14"/>
      <c r="D67" s="15"/>
      <c r="E67" s="16"/>
      <c r="F67" s="1"/>
      <c r="G67" s="15"/>
      <c r="H67" s="15"/>
      <c r="J67" s="19"/>
      <c r="K67" s="19"/>
      <c r="L67" s="19"/>
      <c r="M67" s="19"/>
      <c r="N67" s="19"/>
      <c r="O67" s="19"/>
      <c r="P67" s="19"/>
      <c r="Q67" s="20"/>
      <c r="R67" s="20"/>
      <c r="S67" s="20"/>
    </row>
    <row r="68" spans="3:19" ht="12.75">
      <c r="C68" s="14"/>
      <c r="D68" s="15"/>
      <c r="E68" s="16"/>
      <c r="F68" s="1"/>
      <c r="G68" s="15"/>
      <c r="H68" s="15"/>
      <c r="J68" s="19"/>
      <c r="K68" s="19"/>
      <c r="L68" s="19"/>
      <c r="M68" s="19"/>
      <c r="N68" s="19"/>
      <c r="O68" s="19"/>
      <c r="P68" s="19"/>
      <c r="Q68" s="20"/>
      <c r="R68" s="20"/>
      <c r="S68" s="20"/>
    </row>
    <row r="69" spans="3:19" ht="12.75">
      <c r="C69" s="14"/>
      <c r="D69" s="15"/>
      <c r="E69" s="16"/>
      <c r="F69" s="1"/>
      <c r="G69" s="15"/>
      <c r="H69" s="15"/>
      <c r="J69" s="19"/>
      <c r="K69" s="19"/>
      <c r="L69" s="19"/>
      <c r="M69" s="19"/>
      <c r="N69" s="19"/>
      <c r="O69" s="19"/>
      <c r="P69" s="19"/>
      <c r="Q69" s="20"/>
      <c r="R69" s="20"/>
      <c r="S69" s="20"/>
    </row>
    <row r="70" spans="3:19" ht="12.75">
      <c r="C70" s="14"/>
      <c r="D70" s="15"/>
      <c r="E70" s="16"/>
      <c r="F70" s="1"/>
      <c r="G70" s="15"/>
      <c r="H70" s="15"/>
      <c r="J70" s="19"/>
      <c r="K70" s="19"/>
      <c r="L70" s="19"/>
      <c r="M70" s="19"/>
      <c r="N70" s="19"/>
      <c r="O70" s="19"/>
      <c r="P70" s="19"/>
      <c r="Q70" s="20"/>
      <c r="R70" s="20"/>
      <c r="S70" s="20"/>
    </row>
    <row r="71" spans="3:19" ht="12.75">
      <c r="C71" s="14"/>
      <c r="D71" s="15"/>
      <c r="E71" s="16"/>
      <c r="F71" s="1"/>
      <c r="G71" s="15"/>
      <c r="H71" s="15"/>
      <c r="J71" s="19"/>
      <c r="K71" s="19"/>
      <c r="L71" s="19"/>
      <c r="M71" s="19"/>
      <c r="N71" s="19"/>
      <c r="O71" s="19"/>
      <c r="P71" s="19"/>
      <c r="Q71" s="20"/>
      <c r="R71" s="20"/>
      <c r="S71" s="20"/>
    </row>
    <row r="72" spans="3:19" ht="12.75">
      <c r="C72" s="14"/>
      <c r="D72" s="15"/>
      <c r="E72" s="16"/>
      <c r="F72" s="1"/>
      <c r="G72" s="15"/>
      <c r="H72" s="15"/>
      <c r="J72" s="19"/>
      <c r="K72" s="19"/>
      <c r="L72" s="19"/>
      <c r="M72" s="19"/>
      <c r="N72" s="19"/>
      <c r="O72" s="19"/>
      <c r="P72" s="19"/>
      <c r="Q72" s="20"/>
      <c r="R72" s="20"/>
      <c r="S72" s="20"/>
    </row>
    <row r="73" spans="3:19" ht="12.75">
      <c r="C73" s="14"/>
      <c r="D73" s="15"/>
      <c r="E73" s="16"/>
      <c r="F73" s="19"/>
      <c r="G73" s="15"/>
      <c r="J73" s="19"/>
      <c r="K73" s="19"/>
      <c r="L73" s="19"/>
      <c r="M73" s="21"/>
      <c r="N73" s="19"/>
      <c r="O73" s="19"/>
      <c r="P73" s="19"/>
      <c r="Q73" s="20"/>
      <c r="R73" s="20"/>
      <c r="S73" s="20"/>
    </row>
    <row r="74" spans="1:19" ht="12.75">
      <c r="A74" s="22"/>
      <c r="C74" s="19"/>
      <c r="D74" s="19"/>
      <c r="E74" s="19"/>
      <c r="F74" s="19"/>
      <c r="H74" s="25"/>
      <c r="J74" s="20"/>
      <c r="K74" s="19"/>
      <c r="L74" s="26"/>
      <c r="M74" s="19"/>
      <c r="N74" s="19"/>
      <c r="O74" s="19"/>
      <c r="P74" s="19"/>
      <c r="Q74" s="19"/>
      <c r="R74" s="19"/>
      <c r="S74" s="19"/>
    </row>
    <row r="75" spans="1:22" ht="12.75">
      <c r="A75" s="22"/>
      <c r="C75" s="19"/>
      <c r="D75" s="19"/>
      <c r="E75" s="19"/>
      <c r="F75" s="19"/>
      <c r="G75" s="19"/>
      <c r="H75" s="25"/>
      <c r="J75" s="20"/>
      <c r="K75" s="19"/>
      <c r="L75" s="26"/>
      <c r="M75" s="19"/>
      <c r="N75" s="19"/>
      <c r="O75" s="19"/>
      <c r="P75" s="19"/>
      <c r="Q75" s="19"/>
      <c r="R75" s="19"/>
      <c r="S75" s="19"/>
      <c r="U75" s="20"/>
      <c r="V75" s="20"/>
    </row>
    <row r="76" spans="1:12" ht="15" customHeight="1">
      <c r="A76" s="22"/>
      <c r="H76" s="22"/>
      <c r="J76" s="19"/>
      <c r="K76" s="19"/>
      <c r="L76" s="19"/>
    </row>
    <row r="78" spans="1:17" ht="12.75">
      <c r="A78" s="22"/>
      <c r="J78" s="22"/>
      <c r="K78" s="22"/>
      <c r="L78" s="22"/>
      <c r="M78" s="22"/>
      <c r="Q78" s="22"/>
    </row>
    <row r="80" spans="7:15" ht="12.75">
      <c r="G80" s="22"/>
      <c r="H80" s="22"/>
      <c r="I80" s="22"/>
      <c r="J80" s="22"/>
      <c r="K80" s="22"/>
      <c r="L80" s="22"/>
      <c r="M80" s="22"/>
      <c r="N80" s="22"/>
      <c r="O80" s="22"/>
    </row>
    <row r="82" spans="3:19" ht="12.75">
      <c r="C82" s="14"/>
      <c r="D82" s="15"/>
      <c r="E82" s="16"/>
      <c r="F82" s="19"/>
      <c r="G82" s="15"/>
      <c r="H82" s="15"/>
      <c r="J82" s="17"/>
      <c r="K82" s="17"/>
      <c r="L82" s="17"/>
      <c r="M82" s="18"/>
      <c r="Q82" s="20"/>
      <c r="R82" s="20"/>
      <c r="S82" s="20"/>
    </row>
    <row r="83" spans="3:19" ht="12.75">
      <c r="C83" s="14"/>
      <c r="D83" s="15"/>
      <c r="E83" s="16"/>
      <c r="F83" s="19"/>
      <c r="G83" s="15"/>
      <c r="H83" s="15"/>
      <c r="J83" s="19"/>
      <c r="K83" s="19"/>
      <c r="L83" s="19"/>
      <c r="M83" s="19"/>
      <c r="N83" s="19"/>
      <c r="O83" s="19"/>
      <c r="Q83" s="20"/>
      <c r="R83" s="20"/>
      <c r="S83" s="20"/>
    </row>
    <row r="84" spans="3:19" ht="12.75">
      <c r="C84" s="14"/>
      <c r="D84" s="15"/>
      <c r="E84" s="16"/>
      <c r="F84" s="19"/>
      <c r="G84" s="15"/>
      <c r="H84" s="15"/>
      <c r="J84" s="19"/>
      <c r="K84" s="19"/>
      <c r="L84" s="19"/>
      <c r="M84" s="19"/>
      <c r="N84" s="19"/>
      <c r="O84" s="19"/>
      <c r="P84" s="19"/>
      <c r="Q84" s="20"/>
      <c r="R84" s="20"/>
      <c r="S84" s="20"/>
    </row>
    <row r="85" spans="3:19" ht="12.75">
      <c r="C85" s="14"/>
      <c r="D85" s="15"/>
      <c r="E85" s="16"/>
      <c r="F85" s="19"/>
      <c r="G85" s="15"/>
      <c r="H85" s="15"/>
      <c r="J85" s="19"/>
      <c r="K85" s="19"/>
      <c r="L85" s="19"/>
      <c r="M85" s="19"/>
      <c r="N85" s="19"/>
      <c r="O85" s="19"/>
      <c r="P85" s="19"/>
      <c r="Q85" s="20"/>
      <c r="R85" s="20"/>
      <c r="S85" s="20"/>
    </row>
    <row r="86" spans="3:19" ht="12.75">
      <c r="C86" s="14"/>
      <c r="D86" s="15"/>
      <c r="E86" s="16"/>
      <c r="F86" s="19"/>
      <c r="G86" s="15"/>
      <c r="H86" s="15"/>
      <c r="J86" s="19"/>
      <c r="K86" s="19"/>
      <c r="L86" s="19"/>
      <c r="M86" s="19"/>
      <c r="N86" s="19"/>
      <c r="O86" s="19"/>
      <c r="P86" s="19"/>
      <c r="Q86" s="20"/>
      <c r="R86" s="20"/>
      <c r="S86" s="20"/>
    </row>
    <row r="87" spans="3:19" ht="12.75">
      <c r="C87" s="14"/>
      <c r="D87" s="15"/>
      <c r="E87" s="16"/>
      <c r="F87" s="19"/>
      <c r="G87" s="15"/>
      <c r="H87" s="15"/>
      <c r="J87" s="19"/>
      <c r="K87" s="19"/>
      <c r="L87" s="19"/>
      <c r="M87" s="19"/>
      <c r="N87" s="19"/>
      <c r="O87" s="19"/>
      <c r="P87" s="19"/>
      <c r="Q87" s="20"/>
      <c r="R87" s="20"/>
      <c r="S87" s="20"/>
    </row>
    <row r="88" spans="3:19" ht="12.75">
      <c r="C88" s="14"/>
      <c r="D88" s="15"/>
      <c r="E88" s="16"/>
      <c r="F88" s="19"/>
      <c r="G88" s="15"/>
      <c r="H88" s="15"/>
      <c r="J88" s="19"/>
      <c r="K88" s="19"/>
      <c r="L88" s="19"/>
      <c r="M88" s="19"/>
      <c r="N88" s="19"/>
      <c r="O88" s="19"/>
      <c r="P88" s="19"/>
      <c r="Q88" s="20"/>
      <c r="R88" s="20"/>
      <c r="S88" s="20"/>
    </row>
    <row r="89" spans="3:19" ht="12.75">
      <c r="C89" s="14"/>
      <c r="D89" s="15"/>
      <c r="E89" s="16"/>
      <c r="F89" s="19"/>
      <c r="G89" s="15"/>
      <c r="H89" s="15"/>
      <c r="J89" s="19"/>
      <c r="K89" s="19"/>
      <c r="L89" s="19"/>
      <c r="M89" s="19"/>
      <c r="N89" s="19"/>
      <c r="O89" s="19"/>
      <c r="P89" s="19"/>
      <c r="Q89" s="20"/>
      <c r="R89" s="20"/>
      <c r="S89" s="20"/>
    </row>
    <row r="90" spans="3:19" ht="12.75">
      <c r="C90" s="14"/>
      <c r="D90" s="15"/>
      <c r="E90" s="16"/>
      <c r="F90" s="19"/>
      <c r="G90" s="15"/>
      <c r="H90" s="15"/>
      <c r="J90" s="19"/>
      <c r="K90" s="19"/>
      <c r="L90" s="19"/>
      <c r="M90" s="19"/>
      <c r="N90" s="19"/>
      <c r="O90" s="19"/>
      <c r="P90" s="19"/>
      <c r="Q90" s="20"/>
      <c r="R90" s="20"/>
      <c r="S90" s="20"/>
    </row>
    <row r="91" spans="3:19" ht="12.75">
      <c r="C91" s="14"/>
      <c r="D91" s="15"/>
      <c r="E91" s="16"/>
      <c r="F91" s="19"/>
      <c r="G91" s="15"/>
      <c r="H91" s="15"/>
      <c r="J91" s="19"/>
      <c r="K91" s="19"/>
      <c r="L91" s="19"/>
      <c r="M91" s="19"/>
      <c r="N91" s="19"/>
      <c r="O91" s="19"/>
      <c r="P91" s="19"/>
      <c r="Q91" s="20"/>
      <c r="R91" s="20"/>
      <c r="S91" s="20"/>
    </row>
    <row r="92" spans="3:19" ht="12.75">
      <c r="C92" s="14"/>
      <c r="D92" s="15"/>
      <c r="E92" s="16"/>
      <c r="F92" s="19"/>
      <c r="G92" s="15"/>
      <c r="J92" s="19"/>
      <c r="K92" s="19"/>
      <c r="L92" s="19"/>
      <c r="M92" s="21"/>
      <c r="N92" s="19"/>
      <c r="O92" s="19"/>
      <c r="P92" s="19"/>
      <c r="Q92" s="20"/>
      <c r="R92" s="20"/>
      <c r="S92" s="20"/>
    </row>
    <row r="93" spans="1:19" ht="12.75">
      <c r="A93" s="22"/>
      <c r="C93" s="19"/>
      <c r="D93" s="19"/>
      <c r="E93" s="19"/>
      <c r="F93" s="19"/>
      <c r="H93" s="25"/>
      <c r="J93" s="20"/>
      <c r="K93" s="19"/>
      <c r="L93" s="26"/>
      <c r="M93" s="19"/>
      <c r="N93" s="19"/>
      <c r="O93" s="19"/>
      <c r="P93" s="19"/>
      <c r="Q93" s="19"/>
      <c r="R93" s="19"/>
      <c r="S93" s="19"/>
    </row>
    <row r="94" spans="1:22" ht="12.75">
      <c r="A94" s="22"/>
      <c r="C94" s="19"/>
      <c r="D94" s="19"/>
      <c r="E94" s="19"/>
      <c r="F94" s="19"/>
      <c r="G94" s="19"/>
      <c r="H94" s="25"/>
      <c r="J94" s="20"/>
      <c r="K94" s="19"/>
      <c r="L94" s="26"/>
      <c r="M94" s="21"/>
      <c r="N94" s="19"/>
      <c r="O94" s="19"/>
      <c r="P94" s="19"/>
      <c r="Q94" s="19"/>
      <c r="R94" s="19"/>
      <c r="S94" s="19"/>
      <c r="U94" s="20"/>
      <c r="V94" s="20"/>
    </row>
    <row r="95" spans="1:15" ht="15" customHeight="1">
      <c r="A95" s="22"/>
      <c r="H95" s="22"/>
      <c r="J95" s="19"/>
      <c r="K95" s="19"/>
      <c r="L95" s="19"/>
      <c r="M95" s="19"/>
      <c r="N95" s="19"/>
      <c r="O95" s="19"/>
    </row>
    <row r="97" spans="1:17" ht="12.75">
      <c r="A97" s="22"/>
      <c r="J97" s="22"/>
      <c r="K97" s="22"/>
      <c r="L97" s="22"/>
      <c r="M97" s="22"/>
      <c r="Q97" s="22"/>
    </row>
    <row r="98" spans="21:22" ht="12.75">
      <c r="U98" s="20"/>
      <c r="V98" s="20"/>
    </row>
    <row r="99" spans="7:22" ht="12.75">
      <c r="G99" s="22"/>
      <c r="H99" s="22"/>
      <c r="I99" s="22"/>
      <c r="J99" s="22"/>
      <c r="K99" s="22"/>
      <c r="L99" s="22"/>
      <c r="M99" s="22"/>
      <c r="N99" s="22"/>
      <c r="O99" s="22"/>
      <c r="U99" s="20"/>
      <c r="V99" s="20"/>
    </row>
    <row r="100" spans="21:22" ht="12.75">
      <c r="U100" s="20"/>
      <c r="V100" s="20"/>
    </row>
    <row r="101" spans="3:22" ht="12.75">
      <c r="C101" s="14"/>
      <c r="D101" s="15"/>
      <c r="E101" s="16"/>
      <c r="F101" s="19"/>
      <c r="G101" s="15"/>
      <c r="H101" s="15"/>
      <c r="J101" s="17"/>
      <c r="K101" s="17"/>
      <c r="L101" s="17"/>
      <c r="M101" s="18"/>
      <c r="Q101" s="20"/>
      <c r="R101" s="20"/>
      <c r="S101" s="20"/>
      <c r="U101" s="20"/>
      <c r="V101" s="20"/>
    </row>
    <row r="102" spans="3:22" ht="12.75">
      <c r="C102" s="14"/>
      <c r="D102" s="15"/>
      <c r="E102" s="16"/>
      <c r="F102" s="19"/>
      <c r="G102" s="15"/>
      <c r="H102" s="15"/>
      <c r="J102" s="19"/>
      <c r="K102" s="19"/>
      <c r="L102" s="19"/>
      <c r="M102" s="19"/>
      <c r="N102" s="19"/>
      <c r="O102" s="19"/>
      <c r="Q102" s="20"/>
      <c r="R102" s="20"/>
      <c r="S102" s="20"/>
      <c r="U102" s="20"/>
      <c r="V102" s="20"/>
    </row>
    <row r="103" spans="3:22" ht="12.75">
      <c r="C103" s="14"/>
      <c r="D103" s="15"/>
      <c r="E103" s="16"/>
      <c r="F103" s="19"/>
      <c r="G103" s="15"/>
      <c r="H103" s="15"/>
      <c r="J103" s="19"/>
      <c r="K103" s="19"/>
      <c r="L103" s="19"/>
      <c r="M103" s="19"/>
      <c r="N103" s="19"/>
      <c r="O103" s="19"/>
      <c r="P103" s="19"/>
      <c r="Q103" s="20"/>
      <c r="R103" s="20"/>
      <c r="S103" s="20"/>
      <c r="U103" s="20"/>
      <c r="V103" s="20"/>
    </row>
    <row r="104" spans="3:22" ht="12.75">
      <c r="C104" s="14"/>
      <c r="D104" s="15"/>
      <c r="E104" s="16"/>
      <c r="F104" s="19"/>
      <c r="G104" s="15"/>
      <c r="H104" s="15"/>
      <c r="J104" s="19"/>
      <c r="K104" s="19"/>
      <c r="L104" s="19"/>
      <c r="M104" s="19"/>
      <c r="N104" s="19"/>
      <c r="O104" s="19"/>
      <c r="P104" s="19"/>
      <c r="Q104" s="20"/>
      <c r="R104" s="20"/>
      <c r="S104" s="20"/>
      <c r="U104" s="20"/>
      <c r="V104" s="20"/>
    </row>
    <row r="105" spans="3:22" ht="12.75">
      <c r="C105" s="14"/>
      <c r="D105" s="15"/>
      <c r="E105" s="16"/>
      <c r="F105" s="19"/>
      <c r="G105" s="15"/>
      <c r="H105" s="15"/>
      <c r="J105" s="19"/>
      <c r="K105" s="19"/>
      <c r="L105" s="19"/>
      <c r="M105" s="19"/>
      <c r="N105" s="19"/>
      <c r="O105" s="19"/>
      <c r="P105" s="19"/>
      <c r="Q105" s="20"/>
      <c r="R105" s="20"/>
      <c r="S105" s="20"/>
      <c r="U105" s="20"/>
      <c r="V105" s="20"/>
    </row>
    <row r="106" spans="3:22" ht="12.75">
      <c r="C106" s="14"/>
      <c r="D106" s="15"/>
      <c r="E106" s="16"/>
      <c r="F106" s="19"/>
      <c r="G106" s="15"/>
      <c r="H106" s="15"/>
      <c r="J106" s="19"/>
      <c r="K106" s="19"/>
      <c r="L106" s="19"/>
      <c r="M106" s="19"/>
      <c r="N106" s="19"/>
      <c r="O106" s="19"/>
      <c r="P106" s="19"/>
      <c r="Q106" s="20"/>
      <c r="R106" s="20"/>
      <c r="S106" s="20"/>
      <c r="U106" s="20"/>
      <c r="V106" s="20"/>
    </row>
    <row r="107" spans="3:22" ht="12.75">
      <c r="C107" s="14"/>
      <c r="D107" s="15"/>
      <c r="E107" s="16"/>
      <c r="F107" s="19"/>
      <c r="G107" s="15"/>
      <c r="H107" s="15"/>
      <c r="J107" s="19"/>
      <c r="K107" s="19"/>
      <c r="L107" s="19"/>
      <c r="M107" s="19"/>
      <c r="N107" s="19"/>
      <c r="O107" s="19"/>
      <c r="P107" s="19"/>
      <c r="Q107" s="20"/>
      <c r="R107" s="20"/>
      <c r="S107" s="20"/>
      <c r="U107" s="20"/>
      <c r="V107" s="20"/>
    </row>
    <row r="108" spans="3:22" ht="12.75">
      <c r="C108" s="14"/>
      <c r="D108" s="15"/>
      <c r="E108" s="16"/>
      <c r="F108" s="19"/>
      <c r="G108" s="15"/>
      <c r="H108" s="15"/>
      <c r="J108" s="19"/>
      <c r="K108" s="19"/>
      <c r="L108" s="19"/>
      <c r="M108" s="19"/>
      <c r="N108" s="19"/>
      <c r="O108" s="19"/>
      <c r="P108" s="19"/>
      <c r="Q108" s="20"/>
      <c r="R108" s="20"/>
      <c r="S108" s="20"/>
      <c r="U108" s="20"/>
      <c r="V108" s="20"/>
    </row>
    <row r="109" spans="3:22" ht="12.75">
      <c r="C109" s="14"/>
      <c r="D109" s="15"/>
      <c r="E109" s="16"/>
      <c r="F109" s="19"/>
      <c r="G109" s="15"/>
      <c r="H109" s="15"/>
      <c r="J109" s="19"/>
      <c r="K109" s="19"/>
      <c r="L109" s="19"/>
      <c r="M109" s="19"/>
      <c r="N109" s="19"/>
      <c r="O109" s="19"/>
      <c r="P109" s="19"/>
      <c r="Q109" s="20"/>
      <c r="R109" s="20"/>
      <c r="S109" s="20"/>
      <c r="U109" s="20"/>
      <c r="V109" s="20"/>
    </row>
    <row r="110" spans="3:22" ht="12.75">
      <c r="C110" s="14"/>
      <c r="D110" s="15"/>
      <c r="E110" s="16"/>
      <c r="F110" s="19"/>
      <c r="G110" s="15"/>
      <c r="H110" s="15"/>
      <c r="J110" s="19"/>
      <c r="K110" s="19"/>
      <c r="L110" s="19"/>
      <c r="M110" s="19"/>
      <c r="N110" s="19"/>
      <c r="O110" s="19"/>
      <c r="P110" s="19"/>
      <c r="Q110" s="20"/>
      <c r="R110" s="20"/>
      <c r="S110" s="20"/>
      <c r="U110" s="20"/>
      <c r="V110" s="20"/>
    </row>
    <row r="111" spans="3:22" ht="12.75">
      <c r="C111" s="14"/>
      <c r="D111" s="15"/>
      <c r="E111" s="16"/>
      <c r="F111" s="19"/>
      <c r="G111" s="15"/>
      <c r="J111" s="19"/>
      <c r="K111" s="19"/>
      <c r="L111" s="19"/>
      <c r="M111" s="21"/>
      <c r="N111" s="19"/>
      <c r="O111" s="19"/>
      <c r="P111" s="19"/>
      <c r="Q111" s="20"/>
      <c r="R111" s="20"/>
      <c r="S111" s="20"/>
      <c r="U111" s="20"/>
      <c r="V111" s="20"/>
    </row>
    <row r="112" spans="1:22" ht="12.75">
      <c r="A112" s="22"/>
      <c r="C112" s="19"/>
      <c r="D112" s="19"/>
      <c r="E112" s="19"/>
      <c r="F112" s="19"/>
      <c r="H112" s="25"/>
      <c r="J112" s="20"/>
      <c r="K112" s="19"/>
      <c r="L112" s="26"/>
      <c r="M112" s="19"/>
      <c r="N112" s="19"/>
      <c r="O112" s="19"/>
      <c r="P112" s="19"/>
      <c r="Q112" s="19"/>
      <c r="R112" s="19"/>
      <c r="S112" s="19"/>
      <c r="U112" s="20"/>
      <c r="V112" s="20"/>
    </row>
    <row r="113" spans="1:22" ht="12.75">
      <c r="A113" s="22"/>
      <c r="C113" s="19"/>
      <c r="D113" s="19"/>
      <c r="E113" s="19"/>
      <c r="F113" s="19"/>
      <c r="G113" s="19"/>
      <c r="H113" s="25"/>
      <c r="J113" s="20"/>
      <c r="K113" s="19"/>
      <c r="L113" s="26"/>
      <c r="M113" s="19"/>
      <c r="N113" s="19"/>
      <c r="O113" s="19"/>
      <c r="P113" s="19"/>
      <c r="Q113" s="19"/>
      <c r="R113" s="19"/>
      <c r="S113" s="19"/>
      <c r="U113" s="20"/>
      <c r="V113" s="20"/>
    </row>
    <row r="114" spans="1:22" ht="12.75">
      <c r="A114" s="22"/>
      <c r="C114" s="19"/>
      <c r="D114" s="19"/>
      <c r="E114" s="19"/>
      <c r="F114" s="19"/>
      <c r="H114" s="25"/>
      <c r="J114" s="20"/>
      <c r="K114" s="19"/>
      <c r="L114" s="26"/>
      <c r="M114" s="19"/>
      <c r="N114" s="19"/>
      <c r="O114" s="19"/>
      <c r="P114" s="19"/>
      <c r="Q114" s="19"/>
      <c r="R114" s="19"/>
      <c r="S114" s="19"/>
      <c r="U114" s="20"/>
      <c r="V114" s="20"/>
    </row>
    <row r="115" spans="1:12" ht="15" customHeight="1">
      <c r="A115" s="22"/>
      <c r="H115" s="22"/>
      <c r="J115" s="19"/>
      <c r="K115" s="19"/>
      <c r="L115" s="19"/>
    </row>
    <row r="117" spans="1:17" ht="12.75">
      <c r="A117" s="22"/>
      <c r="J117" s="22"/>
      <c r="K117" s="22"/>
      <c r="L117" s="22"/>
      <c r="M117" s="22"/>
      <c r="Q117" s="22"/>
    </row>
    <row r="118" spans="21:22" ht="12.75">
      <c r="U118" s="20"/>
      <c r="V118" s="20"/>
    </row>
    <row r="119" spans="7:22" ht="12.75">
      <c r="G119" s="22"/>
      <c r="H119" s="22"/>
      <c r="I119" s="22"/>
      <c r="J119" s="22"/>
      <c r="K119" s="22"/>
      <c r="L119" s="22"/>
      <c r="M119" s="22"/>
      <c r="N119" s="22"/>
      <c r="O119" s="22"/>
      <c r="U119" s="20"/>
      <c r="V119" s="20"/>
    </row>
    <row r="120" spans="21:22" ht="12.75">
      <c r="U120" s="20"/>
      <c r="V120" s="20"/>
    </row>
    <row r="121" spans="3:22" ht="12.75">
      <c r="C121" s="14"/>
      <c r="D121" s="15"/>
      <c r="E121" s="16"/>
      <c r="F121" s="19"/>
      <c r="G121" s="15"/>
      <c r="H121" s="15"/>
      <c r="J121" s="17"/>
      <c r="K121" s="17"/>
      <c r="L121" s="17"/>
      <c r="M121" s="18"/>
      <c r="Q121" s="20"/>
      <c r="R121" s="20"/>
      <c r="S121" s="20"/>
      <c r="U121" s="20"/>
      <c r="V121" s="20"/>
    </row>
    <row r="122" spans="3:22" ht="12.75">
      <c r="C122" s="14"/>
      <c r="D122" s="15"/>
      <c r="E122" s="16"/>
      <c r="F122" s="19"/>
      <c r="G122" s="15"/>
      <c r="H122" s="15"/>
      <c r="J122" s="19"/>
      <c r="K122" s="19"/>
      <c r="L122" s="19"/>
      <c r="M122" s="19"/>
      <c r="N122" s="19"/>
      <c r="O122" s="19"/>
      <c r="Q122" s="20"/>
      <c r="R122" s="20"/>
      <c r="S122" s="20"/>
      <c r="U122" s="20"/>
      <c r="V122" s="20"/>
    </row>
    <row r="123" spans="3:22" ht="12.75">
      <c r="C123" s="14"/>
      <c r="D123" s="15"/>
      <c r="E123" s="16"/>
      <c r="F123" s="19"/>
      <c r="G123" s="15"/>
      <c r="H123" s="15"/>
      <c r="J123" s="19"/>
      <c r="K123" s="19"/>
      <c r="L123" s="19"/>
      <c r="M123" s="19"/>
      <c r="N123" s="19"/>
      <c r="O123" s="19"/>
      <c r="P123" s="19"/>
      <c r="Q123" s="20"/>
      <c r="R123" s="20"/>
      <c r="S123" s="20"/>
      <c r="U123" s="20"/>
      <c r="V123" s="20"/>
    </row>
    <row r="124" spans="3:22" ht="12.75">
      <c r="C124" s="14"/>
      <c r="D124" s="15"/>
      <c r="E124" s="16"/>
      <c r="F124" s="19"/>
      <c r="G124" s="15"/>
      <c r="H124" s="15"/>
      <c r="J124" s="19"/>
      <c r="K124" s="19"/>
      <c r="L124" s="19"/>
      <c r="M124" s="19"/>
      <c r="N124" s="19"/>
      <c r="O124" s="19"/>
      <c r="P124" s="19"/>
      <c r="Q124" s="20"/>
      <c r="R124" s="20"/>
      <c r="S124" s="20"/>
      <c r="U124" s="20"/>
      <c r="V124" s="20"/>
    </row>
    <row r="125" spans="3:22" ht="12.75">
      <c r="C125" s="14"/>
      <c r="D125" s="15"/>
      <c r="E125" s="16"/>
      <c r="F125" s="19"/>
      <c r="G125" s="15"/>
      <c r="H125" s="15"/>
      <c r="J125" s="19"/>
      <c r="K125" s="19"/>
      <c r="L125" s="19"/>
      <c r="M125" s="19"/>
      <c r="N125" s="19"/>
      <c r="O125" s="19"/>
      <c r="P125" s="19"/>
      <c r="Q125" s="20"/>
      <c r="R125" s="20"/>
      <c r="S125" s="20"/>
      <c r="U125" s="20"/>
      <c r="V125" s="20"/>
    </row>
    <row r="126" spans="3:22" ht="12.75">
      <c r="C126" s="14"/>
      <c r="D126" s="15"/>
      <c r="E126" s="16"/>
      <c r="F126" s="19"/>
      <c r="G126" s="15"/>
      <c r="H126" s="15"/>
      <c r="J126" s="19"/>
      <c r="K126" s="19"/>
      <c r="L126" s="19"/>
      <c r="M126" s="19"/>
      <c r="N126" s="19"/>
      <c r="O126" s="19"/>
      <c r="P126" s="19"/>
      <c r="Q126" s="20"/>
      <c r="R126" s="20"/>
      <c r="S126" s="20"/>
      <c r="U126" s="20"/>
      <c r="V126" s="20"/>
    </row>
    <row r="127" spans="3:22" ht="12.75">
      <c r="C127" s="14"/>
      <c r="D127" s="15"/>
      <c r="E127" s="16"/>
      <c r="F127" s="19"/>
      <c r="G127" s="15"/>
      <c r="H127" s="15"/>
      <c r="J127" s="19"/>
      <c r="K127" s="19"/>
      <c r="L127" s="19"/>
      <c r="M127" s="19"/>
      <c r="N127" s="19"/>
      <c r="O127" s="19"/>
      <c r="P127" s="19"/>
      <c r="Q127" s="20"/>
      <c r="R127" s="20"/>
      <c r="S127" s="20"/>
      <c r="U127" s="20"/>
      <c r="V127" s="20"/>
    </row>
    <row r="128" spans="3:22" ht="12.75">
      <c r="C128" s="14"/>
      <c r="D128" s="15"/>
      <c r="E128" s="16"/>
      <c r="F128" s="19"/>
      <c r="G128" s="15"/>
      <c r="H128" s="15"/>
      <c r="J128" s="19"/>
      <c r="K128" s="19"/>
      <c r="L128" s="19"/>
      <c r="M128" s="19"/>
      <c r="N128" s="19"/>
      <c r="O128" s="19"/>
      <c r="P128" s="19"/>
      <c r="Q128" s="20"/>
      <c r="R128" s="20"/>
      <c r="S128" s="20"/>
      <c r="U128" s="20"/>
      <c r="V128" s="20"/>
    </row>
    <row r="129" spans="3:22" ht="12.75">
      <c r="C129" s="14"/>
      <c r="D129" s="15"/>
      <c r="E129" s="16"/>
      <c r="F129" s="19"/>
      <c r="G129" s="15"/>
      <c r="H129" s="15"/>
      <c r="J129" s="19"/>
      <c r="K129" s="19"/>
      <c r="L129" s="19"/>
      <c r="M129" s="19"/>
      <c r="N129" s="19"/>
      <c r="O129" s="19"/>
      <c r="P129" s="19"/>
      <c r="Q129" s="20"/>
      <c r="R129" s="20"/>
      <c r="S129" s="20"/>
      <c r="U129" s="20"/>
      <c r="V129" s="20"/>
    </row>
    <row r="130" spans="3:22" ht="12.75">
      <c r="C130" s="14"/>
      <c r="D130" s="15"/>
      <c r="E130" s="16"/>
      <c r="F130" s="19"/>
      <c r="G130" s="15"/>
      <c r="H130" s="15"/>
      <c r="J130" s="19"/>
      <c r="K130" s="19"/>
      <c r="L130" s="19"/>
      <c r="M130" s="19"/>
      <c r="N130" s="19"/>
      <c r="O130" s="19"/>
      <c r="P130" s="19"/>
      <c r="Q130" s="20"/>
      <c r="R130" s="20"/>
      <c r="S130" s="20"/>
      <c r="U130" s="20"/>
      <c r="V130" s="20"/>
    </row>
    <row r="131" spans="3:22" ht="12.75">
      <c r="C131" s="14"/>
      <c r="D131" s="15"/>
      <c r="E131" s="16"/>
      <c r="F131" s="19"/>
      <c r="G131" s="15"/>
      <c r="J131" s="19"/>
      <c r="K131" s="19"/>
      <c r="L131" s="19"/>
      <c r="M131" s="21"/>
      <c r="N131" s="19"/>
      <c r="O131" s="19"/>
      <c r="P131" s="19"/>
      <c r="Q131" s="20"/>
      <c r="R131" s="20"/>
      <c r="S131" s="20"/>
      <c r="U131" s="20"/>
      <c r="V131" s="20"/>
    </row>
    <row r="132" spans="1:22" ht="12.75">
      <c r="A132" s="22"/>
      <c r="C132" s="19"/>
      <c r="D132" s="19"/>
      <c r="E132" s="19"/>
      <c r="F132" s="19"/>
      <c r="H132" s="25"/>
      <c r="J132" s="20"/>
      <c r="K132" s="19"/>
      <c r="L132" s="26"/>
      <c r="M132" s="19"/>
      <c r="N132" s="19"/>
      <c r="O132" s="19"/>
      <c r="P132" s="19"/>
      <c r="Q132" s="19"/>
      <c r="R132" s="19"/>
      <c r="S132" s="19"/>
      <c r="U132" s="20"/>
      <c r="V132" s="20"/>
    </row>
    <row r="133" spans="1:22" ht="12.75">
      <c r="A133" s="22"/>
      <c r="C133" s="19"/>
      <c r="D133" s="19"/>
      <c r="E133" s="19"/>
      <c r="F133" s="19"/>
      <c r="G133" s="19"/>
      <c r="H133" s="25"/>
      <c r="J133" s="20"/>
      <c r="K133" s="19"/>
      <c r="L133" s="26"/>
      <c r="M133" s="19"/>
      <c r="N133" s="19"/>
      <c r="O133" s="19"/>
      <c r="P133" s="19"/>
      <c r="Q133" s="19"/>
      <c r="R133" s="19"/>
      <c r="S133" s="19"/>
      <c r="U133" s="20"/>
      <c r="V133" s="20"/>
    </row>
    <row r="134" spans="1:22" ht="12.75">
      <c r="A134" s="22"/>
      <c r="C134" s="19"/>
      <c r="D134" s="19"/>
      <c r="E134" s="19"/>
      <c r="F134" s="19"/>
      <c r="H134" s="25"/>
      <c r="J134" s="20"/>
      <c r="K134" s="19"/>
      <c r="L134" s="26"/>
      <c r="M134" s="19"/>
      <c r="N134" s="19"/>
      <c r="O134" s="19"/>
      <c r="P134" s="19"/>
      <c r="Q134" s="19"/>
      <c r="R134" s="19"/>
      <c r="S134" s="19"/>
      <c r="U134" s="20"/>
      <c r="V134" s="20"/>
    </row>
    <row r="135" spans="1:12" ht="15" customHeight="1">
      <c r="A135" s="22"/>
      <c r="H135" s="22"/>
      <c r="J135" s="19"/>
      <c r="K135" s="19"/>
      <c r="L135" s="19"/>
    </row>
    <row r="136" spans="3:19" ht="12.75">
      <c r="C136" s="14"/>
      <c r="D136" s="15"/>
      <c r="E136" s="16"/>
      <c r="F136" s="19"/>
      <c r="G136" s="15"/>
      <c r="J136" s="17"/>
      <c r="K136" s="17"/>
      <c r="L136" s="17"/>
      <c r="M136" s="18"/>
      <c r="Q136" s="20"/>
      <c r="R136" s="20"/>
      <c r="S136" s="20"/>
    </row>
    <row r="137" spans="3:19" ht="12.75">
      <c r="C137" s="14"/>
      <c r="D137" s="15"/>
      <c r="E137" s="16"/>
      <c r="F137" s="19"/>
      <c r="G137" s="15"/>
      <c r="J137" s="19"/>
      <c r="K137" s="19"/>
      <c r="L137" s="19"/>
      <c r="M137" s="21"/>
      <c r="N137" s="19"/>
      <c r="O137" s="19"/>
      <c r="Q137" s="20"/>
      <c r="R137" s="20"/>
      <c r="S137" s="20"/>
    </row>
    <row r="138" spans="3:19" ht="12.75">
      <c r="C138" s="14"/>
      <c r="D138" s="15"/>
      <c r="E138" s="16"/>
      <c r="F138" s="19"/>
      <c r="G138" s="15"/>
      <c r="J138" s="19"/>
      <c r="K138" s="19"/>
      <c r="L138" s="19"/>
      <c r="M138" s="21"/>
      <c r="N138" s="19"/>
      <c r="O138" s="19"/>
      <c r="P138" s="19"/>
      <c r="Q138" s="20"/>
      <c r="R138" s="20"/>
      <c r="S138" s="20"/>
    </row>
    <row r="139" spans="3:19" ht="12.75">
      <c r="C139" s="14"/>
      <c r="D139" s="15"/>
      <c r="E139" s="16"/>
      <c r="F139" s="19"/>
      <c r="G139" s="15"/>
      <c r="J139" s="19"/>
      <c r="K139" s="19"/>
      <c r="L139" s="19"/>
      <c r="M139" s="21"/>
      <c r="N139" s="19"/>
      <c r="O139" s="19"/>
      <c r="P139" s="19"/>
      <c r="Q139" s="20"/>
      <c r="R139" s="20"/>
      <c r="S139" s="20"/>
    </row>
    <row r="140" spans="3:19" ht="12.75">
      <c r="C140" s="14"/>
      <c r="D140" s="15"/>
      <c r="E140" s="16"/>
      <c r="F140" s="19"/>
      <c r="G140" s="15"/>
      <c r="J140" s="19"/>
      <c r="K140" s="19"/>
      <c r="L140" s="19"/>
      <c r="M140" s="21"/>
      <c r="N140" s="19"/>
      <c r="O140" s="19"/>
      <c r="P140" s="19"/>
      <c r="Q140" s="20"/>
      <c r="R140" s="20"/>
      <c r="S140" s="20"/>
    </row>
    <row r="141" spans="3:19" ht="12.75">
      <c r="C141" s="14"/>
      <c r="D141" s="15"/>
      <c r="E141" s="16"/>
      <c r="F141" s="19"/>
      <c r="G141" s="15"/>
      <c r="J141" s="19"/>
      <c r="K141" s="19"/>
      <c r="L141" s="19"/>
      <c r="M141" s="21"/>
      <c r="N141" s="19"/>
      <c r="O141" s="19"/>
      <c r="P141" s="19"/>
      <c r="Q141" s="20"/>
      <c r="R141" s="20"/>
      <c r="S141" s="20"/>
    </row>
    <row r="142" spans="3:19" ht="12.75">
      <c r="C142" s="14"/>
      <c r="D142" s="15"/>
      <c r="E142" s="16"/>
      <c r="F142" s="19"/>
      <c r="G142" s="15"/>
      <c r="J142" s="19"/>
      <c r="K142" s="19"/>
      <c r="L142" s="19"/>
      <c r="M142" s="21"/>
      <c r="N142" s="19"/>
      <c r="O142" s="19"/>
      <c r="P142" s="19"/>
      <c r="Q142" s="20"/>
      <c r="R142" s="20"/>
      <c r="S142" s="20"/>
    </row>
    <row r="143" spans="3:19" ht="12.75">
      <c r="C143" s="14"/>
      <c r="D143" s="15"/>
      <c r="E143" s="16"/>
      <c r="F143" s="19"/>
      <c r="G143" s="15"/>
      <c r="J143" s="19"/>
      <c r="K143" s="19"/>
      <c r="L143" s="19"/>
      <c r="M143" s="21"/>
      <c r="N143" s="19"/>
      <c r="O143" s="19"/>
      <c r="P143" s="19"/>
      <c r="Q143" s="20"/>
      <c r="R143" s="20"/>
      <c r="S143" s="20"/>
    </row>
    <row r="144" spans="3:19" ht="12.75">
      <c r="C144" s="14"/>
      <c r="D144" s="15"/>
      <c r="E144" s="16"/>
      <c r="F144" s="19"/>
      <c r="G144" s="15"/>
      <c r="J144" s="19"/>
      <c r="K144" s="19"/>
      <c r="L144" s="19"/>
      <c r="M144" s="21"/>
      <c r="N144" s="19"/>
      <c r="O144" s="19"/>
      <c r="P144" s="19"/>
      <c r="Q144" s="20"/>
      <c r="R144" s="20"/>
      <c r="S144" s="20"/>
    </row>
    <row r="145" spans="3:19" ht="12.75">
      <c r="C145" s="14"/>
      <c r="D145" s="15"/>
      <c r="E145" s="16"/>
      <c r="F145" s="26"/>
      <c r="G145" s="15"/>
      <c r="J145" s="19"/>
      <c r="K145" s="19"/>
      <c r="L145" s="19"/>
      <c r="M145" s="21"/>
      <c r="N145" s="19"/>
      <c r="O145" s="19"/>
      <c r="P145" s="19"/>
      <c r="Q145" s="20"/>
      <c r="R145" s="20"/>
      <c r="S145" s="20"/>
    </row>
    <row r="146" spans="3:19" ht="12.75">
      <c r="C146" s="14"/>
      <c r="D146" s="15"/>
      <c r="E146" s="16"/>
      <c r="F146" s="19"/>
      <c r="G146" s="15"/>
      <c r="J146" s="19"/>
      <c r="K146" s="19"/>
      <c r="L146" s="19"/>
      <c r="M146" s="21"/>
      <c r="N146" s="19"/>
      <c r="O146" s="19"/>
      <c r="P146" s="19"/>
      <c r="Q146" s="20"/>
      <c r="R146" s="20"/>
      <c r="S146" s="20"/>
    </row>
    <row r="147" spans="1:19" ht="12.75">
      <c r="A147" s="22"/>
      <c r="C147" s="19"/>
      <c r="D147" s="19"/>
      <c r="E147" s="19"/>
      <c r="F147" s="19"/>
      <c r="H147" s="25"/>
      <c r="J147" s="20"/>
      <c r="K147" s="26"/>
      <c r="L147" s="26"/>
      <c r="M147" s="19"/>
      <c r="N147" s="19"/>
      <c r="O147" s="19"/>
      <c r="P147" s="19"/>
      <c r="Q147" s="20"/>
      <c r="R147" s="20"/>
      <c r="S147" s="20"/>
    </row>
    <row r="148" spans="8:10" ht="12.75">
      <c r="H148" s="22"/>
      <c r="J148" s="19"/>
    </row>
  </sheetData>
  <printOptions/>
  <pageMargins left="0.75" right="0.75" top="1" bottom="1" header="0.5" footer="0.5"/>
  <pageSetup fitToHeight="1" fitToWidth="1" horizontalDpi="600" verticalDpi="600" orientation="portrait" paperSize="9" scale="48" r:id="rId1"/>
</worksheet>
</file>

<file path=xl/worksheets/sheet44.xml><?xml version="1.0" encoding="utf-8"?>
<worksheet xmlns="http://schemas.openxmlformats.org/spreadsheetml/2006/main" xmlns:r="http://schemas.openxmlformats.org/officeDocument/2006/relationships">
  <dimension ref="A1:T38"/>
  <sheetViews>
    <sheetView workbookViewId="0" topLeftCell="A1">
      <selection activeCell="A2" sqref="A2"/>
    </sheetView>
  </sheetViews>
  <sheetFormatPr defaultColWidth="9.140625" defaultRowHeight="12.75"/>
  <cols>
    <col min="1" max="15" width="9.140625" style="13" customWidth="1"/>
    <col min="17" max="17" width="9.140625" style="13" customWidth="1"/>
    <col min="18" max="18" width="24.140625" style="13" customWidth="1"/>
    <col min="19" max="19" width="19.57421875" style="13" customWidth="1"/>
    <col min="20" max="20" width="14.7109375" style="13" customWidth="1"/>
    <col min="21" max="16384" width="9.140625" style="13" customWidth="1"/>
  </cols>
  <sheetData>
    <row r="1" ht="12.75">
      <c r="A1" s="22" t="s">
        <v>472</v>
      </c>
    </row>
    <row r="2" ht="12.75">
      <c r="A2" s="22"/>
    </row>
    <row r="3" spans="1:19" ht="12.75">
      <c r="A3" s="22"/>
      <c r="C3" s="22" t="s">
        <v>49</v>
      </c>
      <c r="D3" s="22" t="s">
        <v>50</v>
      </c>
      <c r="E3" s="22" t="s">
        <v>54</v>
      </c>
      <c r="F3" s="22" t="s">
        <v>56</v>
      </c>
      <c r="G3" s="22" t="s">
        <v>59</v>
      </c>
      <c r="H3" s="22" t="s">
        <v>55</v>
      </c>
      <c r="I3" s="22" t="s">
        <v>58</v>
      </c>
      <c r="J3" s="22"/>
      <c r="K3" s="22" t="s">
        <v>51</v>
      </c>
      <c r="L3" s="22" t="s">
        <v>57</v>
      </c>
      <c r="M3" s="22" t="s">
        <v>52</v>
      </c>
      <c r="N3" s="22"/>
      <c r="O3" s="22" t="s">
        <v>53</v>
      </c>
      <c r="P3" t="s">
        <v>78</v>
      </c>
      <c r="S3" s="22"/>
    </row>
    <row r="4" spans="1:19" ht="12.75">
      <c r="A4" s="22"/>
      <c r="C4" s="22"/>
      <c r="D4" s="22"/>
      <c r="E4" s="22"/>
      <c r="F4" s="22"/>
      <c r="G4" s="22"/>
      <c r="H4" s="22"/>
      <c r="I4" s="22"/>
      <c r="J4" s="22"/>
      <c r="K4" s="22"/>
      <c r="L4" s="22"/>
      <c r="M4" s="22"/>
      <c r="N4" s="22"/>
      <c r="O4" s="22"/>
      <c r="S4" s="22"/>
    </row>
    <row r="5" spans="1:19" ht="12.75">
      <c r="A5" s="22">
        <v>1990</v>
      </c>
      <c r="C5" s="22"/>
      <c r="D5" s="22"/>
      <c r="E5" s="22"/>
      <c r="F5" s="22"/>
      <c r="G5" s="22"/>
      <c r="H5" s="22"/>
      <c r="I5" s="22"/>
      <c r="J5" s="22"/>
      <c r="K5" s="22"/>
      <c r="L5" s="22"/>
      <c r="M5" s="22"/>
      <c r="N5" s="22"/>
      <c r="O5" s="22"/>
      <c r="S5" s="22"/>
    </row>
    <row r="6" ht="12.75">
      <c r="A6" s="13">
        <v>1991</v>
      </c>
    </row>
    <row r="7" spans="1:15" ht="12.75">
      <c r="A7" s="13">
        <v>1992</v>
      </c>
      <c r="O7" s="15"/>
    </row>
    <row r="8" spans="1:20" ht="12.75">
      <c r="A8" s="13">
        <f aca="true" t="shared" si="0" ref="A8:A28">A7+1</f>
        <v>1993</v>
      </c>
      <c r="C8" s="19">
        <v>0.15976331360946747</v>
      </c>
      <c r="D8" s="19">
        <f aca="true" t="shared" si="1" ref="D8:D28">1-C8</f>
        <v>0.8402366863905325</v>
      </c>
      <c r="E8" s="15">
        <v>1.8669871182803957</v>
      </c>
      <c r="F8" s="15">
        <v>0.5</v>
      </c>
      <c r="G8" s="15">
        <v>0.34</v>
      </c>
      <c r="H8" s="15">
        <f>E8*(1-F8)/F8*(C8/D8)^(1-0.34)</f>
        <v>0.6242105412903128</v>
      </c>
      <c r="I8" s="15">
        <v>0.0168</v>
      </c>
      <c r="J8" s="19"/>
      <c r="K8" s="19">
        <f aca="true" t="shared" si="2" ref="K8:K28">(F8*H8*(1+I8)^(A8-1993)*C8^(G8)+(1-F8)*D8^(G8))^(1/G8)</f>
        <v>0.26734194452824545</v>
      </c>
      <c r="L8" s="19">
        <f>K8</f>
        <v>0.26734194452824545</v>
      </c>
      <c r="M8" s="19">
        <f aca="true" t="shared" si="3" ref="M8:M28">K8/L8</f>
        <v>1</v>
      </c>
      <c r="N8" s="19"/>
      <c r="O8" s="15"/>
      <c r="P8" s="15">
        <v>1.8669871182803957</v>
      </c>
      <c r="Q8" s="19"/>
      <c r="R8" s="15"/>
      <c r="S8" s="15"/>
      <c r="T8" s="15"/>
    </row>
    <row r="9" spans="1:20" ht="12.75">
      <c r="A9" s="13">
        <f t="shared" si="0"/>
        <v>1994</v>
      </c>
      <c r="C9" s="19">
        <v>0.16216216216216217</v>
      </c>
      <c r="D9" s="19">
        <f t="shared" si="1"/>
        <v>0.8378378378378378</v>
      </c>
      <c r="E9" s="15">
        <v>1.8979368195283015</v>
      </c>
      <c r="F9" s="15">
        <f aca="true" t="shared" si="4" ref="F9:F28">F8</f>
        <v>0.5</v>
      </c>
      <c r="G9" s="15">
        <f aca="true" t="shared" si="5" ref="G9:G28">G8</f>
        <v>0.34</v>
      </c>
      <c r="H9" s="15">
        <f aca="true" t="shared" si="6" ref="H9:H28">H8</f>
        <v>0.6242105412903128</v>
      </c>
      <c r="I9" s="15">
        <f aca="true" t="shared" si="7" ref="I9:I28">I8</f>
        <v>0.0168</v>
      </c>
      <c r="J9" s="19"/>
      <c r="K9" s="19">
        <f t="shared" si="2"/>
        <v>0.27132240060587864</v>
      </c>
      <c r="L9" s="19">
        <f aca="true" t="shared" si="8" ref="L9:L28">L8</f>
        <v>0.26734194452824545</v>
      </c>
      <c r="M9" s="19">
        <f t="shared" si="3"/>
        <v>1.0148890069781498</v>
      </c>
      <c r="N9" s="19"/>
      <c r="O9" s="15"/>
      <c r="P9" s="15">
        <v>1.8979368195283015</v>
      </c>
      <c r="Q9" s="19"/>
      <c r="R9" s="15"/>
      <c r="S9" s="15"/>
      <c r="T9" s="15"/>
    </row>
    <row r="10" spans="1:20" ht="12.75">
      <c r="A10" s="13">
        <f t="shared" si="0"/>
        <v>1995</v>
      </c>
      <c r="C10" s="19">
        <v>0.15532879818594103</v>
      </c>
      <c r="D10" s="19">
        <f t="shared" si="1"/>
        <v>0.844671201814059</v>
      </c>
      <c r="E10" s="15">
        <v>1.858270381203828</v>
      </c>
      <c r="F10" s="15">
        <f t="shared" si="4"/>
        <v>0.5</v>
      </c>
      <c r="G10" s="15">
        <f t="shared" si="5"/>
        <v>0.34</v>
      </c>
      <c r="H10" s="15">
        <f t="shared" si="6"/>
        <v>0.6242105412903128</v>
      </c>
      <c r="I10" s="15">
        <f t="shared" si="7"/>
        <v>0.0168</v>
      </c>
      <c r="J10" s="19"/>
      <c r="K10" s="19">
        <f t="shared" si="2"/>
        <v>0.27337694351134056</v>
      </c>
      <c r="L10" s="19">
        <f t="shared" si="8"/>
        <v>0.26734194452824545</v>
      </c>
      <c r="M10" s="19">
        <f t="shared" si="3"/>
        <v>1.0225740820197315</v>
      </c>
      <c r="N10" s="19"/>
      <c r="O10" s="15"/>
      <c r="P10" s="15">
        <v>1.858270381203828</v>
      </c>
      <c r="Q10" s="19"/>
      <c r="R10" s="15"/>
      <c r="S10" s="15"/>
      <c r="T10" s="15"/>
    </row>
    <row r="11" spans="1:20" ht="12.75">
      <c r="A11" s="13">
        <f t="shared" si="0"/>
        <v>1996</v>
      </c>
      <c r="C11" s="19">
        <v>0.14578587699316628</v>
      </c>
      <c r="D11" s="19">
        <f t="shared" si="1"/>
        <v>0.8542141230068337</v>
      </c>
      <c r="E11" s="15">
        <v>1.84113500808426</v>
      </c>
      <c r="F11" s="15">
        <f t="shared" si="4"/>
        <v>0.5</v>
      </c>
      <c r="G11" s="15">
        <f t="shared" si="5"/>
        <v>0.34</v>
      </c>
      <c r="H11" s="15">
        <f t="shared" si="6"/>
        <v>0.6242105412903128</v>
      </c>
      <c r="I11" s="15">
        <f t="shared" si="7"/>
        <v>0.0168</v>
      </c>
      <c r="J11" s="19"/>
      <c r="K11" s="19">
        <f t="shared" si="2"/>
        <v>0.2745906611954335</v>
      </c>
      <c r="L11" s="19">
        <f t="shared" si="8"/>
        <v>0.26734194452824545</v>
      </c>
      <c r="M11" s="19">
        <f t="shared" si="3"/>
        <v>1.027114026869144</v>
      </c>
      <c r="N11" s="19"/>
      <c r="O11" s="15"/>
      <c r="P11" s="15">
        <v>1.84113500808426</v>
      </c>
      <c r="Q11" s="19"/>
      <c r="R11" s="15"/>
      <c r="S11" s="15"/>
      <c r="T11" s="15"/>
    </row>
    <row r="12" spans="1:20" ht="12.75">
      <c r="A12" s="13">
        <f t="shared" si="0"/>
        <v>1997</v>
      </c>
      <c r="C12" s="19">
        <v>0.15011037527593818</v>
      </c>
      <c r="D12" s="19">
        <f t="shared" si="1"/>
        <v>0.8498896247240618</v>
      </c>
      <c r="E12" s="15">
        <v>2.06036379615491</v>
      </c>
      <c r="F12" s="15">
        <f t="shared" si="4"/>
        <v>0.5</v>
      </c>
      <c r="G12" s="15">
        <f t="shared" si="5"/>
        <v>0.34</v>
      </c>
      <c r="H12" s="15">
        <f t="shared" si="6"/>
        <v>0.6242105412903128</v>
      </c>
      <c r="I12" s="15">
        <f t="shared" si="7"/>
        <v>0.0168</v>
      </c>
      <c r="J12" s="19"/>
      <c r="K12" s="19">
        <f t="shared" si="2"/>
        <v>0.2793530685319945</v>
      </c>
      <c r="L12" s="19">
        <f t="shared" si="8"/>
        <v>0.26734194452824545</v>
      </c>
      <c r="M12" s="19">
        <f t="shared" si="3"/>
        <v>1.0449279443408852</v>
      </c>
      <c r="N12" s="19"/>
      <c r="O12" s="15"/>
      <c r="P12" s="15">
        <v>2.06036379615491</v>
      </c>
      <c r="Q12" s="19"/>
      <c r="R12" s="15"/>
      <c r="S12" s="15"/>
      <c r="T12" s="15"/>
    </row>
    <row r="13" spans="1:20" ht="12.75">
      <c r="A13" s="13">
        <f t="shared" si="0"/>
        <v>1998</v>
      </c>
      <c r="C13" s="19">
        <v>0.1620421753607103</v>
      </c>
      <c r="D13" s="19">
        <f t="shared" si="1"/>
        <v>0.8379578246392897</v>
      </c>
      <c r="E13" s="15">
        <v>2.2831269944251007</v>
      </c>
      <c r="F13" s="15">
        <f t="shared" si="4"/>
        <v>0.5</v>
      </c>
      <c r="G13" s="15">
        <f t="shared" si="5"/>
        <v>0.34</v>
      </c>
      <c r="H13" s="15">
        <f t="shared" si="6"/>
        <v>0.6242105412903128</v>
      </c>
      <c r="I13" s="15">
        <f t="shared" si="7"/>
        <v>0.0168</v>
      </c>
      <c r="J13" s="19"/>
      <c r="K13" s="19">
        <f t="shared" si="2"/>
        <v>0.2862052825822729</v>
      </c>
      <c r="L13" s="19">
        <f t="shared" si="8"/>
        <v>0.26734194452824545</v>
      </c>
      <c r="M13" s="19">
        <f t="shared" si="3"/>
        <v>1.0705588421125383</v>
      </c>
      <c r="N13" s="19"/>
      <c r="O13" s="15"/>
      <c r="P13" s="15">
        <v>2.2831269944251007</v>
      </c>
      <c r="Q13" s="19"/>
      <c r="R13" s="15"/>
      <c r="S13" s="15"/>
      <c r="T13" s="15"/>
    </row>
    <row r="14" spans="1:20" ht="12.75">
      <c r="A14" s="13">
        <f t="shared" si="0"/>
        <v>1999</v>
      </c>
      <c r="C14" s="19">
        <v>0.16930022573363435</v>
      </c>
      <c r="D14" s="19">
        <f t="shared" si="1"/>
        <v>0.8306997742663657</v>
      </c>
      <c r="E14" s="15">
        <v>1.9384664714995343</v>
      </c>
      <c r="F14" s="15">
        <f t="shared" si="4"/>
        <v>0.5</v>
      </c>
      <c r="G14" s="15">
        <f t="shared" si="5"/>
        <v>0.34</v>
      </c>
      <c r="H14" s="15">
        <f t="shared" si="6"/>
        <v>0.6242105412903128</v>
      </c>
      <c r="I14" s="15">
        <f t="shared" si="7"/>
        <v>0.0168</v>
      </c>
      <c r="J14" s="19"/>
      <c r="K14" s="19">
        <f t="shared" si="2"/>
        <v>0.29199753478875107</v>
      </c>
      <c r="L14" s="19">
        <f t="shared" si="8"/>
        <v>0.26734194452824545</v>
      </c>
      <c r="M14" s="19">
        <f t="shared" si="3"/>
        <v>1.0922249230438312</v>
      </c>
      <c r="N14" s="19"/>
      <c r="O14" s="15"/>
      <c r="P14" s="15">
        <v>1.9384664714995343</v>
      </c>
      <c r="Q14" s="19"/>
      <c r="R14" s="15"/>
      <c r="S14" s="15"/>
      <c r="T14" s="15"/>
    </row>
    <row r="15" spans="1:20" ht="12.75">
      <c r="A15" s="13">
        <f t="shared" si="0"/>
        <v>2000</v>
      </c>
      <c r="C15" s="19">
        <v>0.17222222222222222</v>
      </c>
      <c r="D15" s="19">
        <f t="shared" si="1"/>
        <v>0.8277777777777777</v>
      </c>
      <c r="E15" s="15">
        <v>1.8966932540167463</v>
      </c>
      <c r="F15" s="15">
        <f t="shared" si="4"/>
        <v>0.5</v>
      </c>
      <c r="G15" s="15">
        <f t="shared" si="5"/>
        <v>0.34</v>
      </c>
      <c r="H15" s="15">
        <f t="shared" si="6"/>
        <v>0.6242105412903128</v>
      </c>
      <c r="I15" s="15">
        <f t="shared" si="7"/>
        <v>0.0168</v>
      </c>
      <c r="J15" s="19"/>
      <c r="K15" s="19">
        <f t="shared" si="2"/>
        <v>0.29688550386835694</v>
      </c>
      <c r="L15" s="19">
        <f t="shared" si="8"/>
        <v>0.26734194452824545</v>
      </c>
      <c r="M15" s="19">
        <f t="shared" si="3"/>
        <v>1.1105085077175016</v>
      </c>
      <c r="N15" s="19"/>
      <c r="O15" s="15"/>
      <c r="P15" s="15">
        <v>1.8966932540167463</v>
      </c>
      <c r="Q15" s="19"/>
      <c r="R15" s="15"/>
      <c r="S15" s="15"/>
      <c r="T15" s="15"/>
    </row>
    <row r="16" spans="1:20" ht="12.75">
      <c r="A16" s="13">
        <f t="shared" si="0"/>
        <v>2001</v>
      </c>
      <c r="C16" s="19">
        <v>0.1726775956284153</v>
      </c>
      <c r="D16" s="19">
        <f t="shared" si="1"/>
        <v>0.8273224043715847</v>
      </c>
      <c r="E16" s="15">
        <v>1.920579297790927</v>
      </c>
      <c r="F16" s="15">
        <f t="shared" si="4"/>
        <v>0.5</v>
      </c>
      <c r="G16" s="15">
        <f t="shared" si="5"/>
        <v>0.34</v>
      </c>
      <c r="H16" s="15">
        <f t="shared" si="6"/>
        <v>0.6242105412903128</v>
      </c>
      <c r="I16" s="15">
        <f t="shared" si="7"/>
        <v>0.0168</v>
      </c>
      <c r="J16" s="19"/>
      <c r="K16" s="19">
        <f t="shared" si="2"/>
        <v>0.3012988761544915</v>
      </c>
      <c r="L16" s="19">
        <f t="shared" si="8"/>
        <v>0.26734194452824545</v>
      </c>
      <c r="M16" s="19">
        <f t="shared" si="3"/>
        <v>1.1270168498481106</v>
      </c>
      <c r="N16" s="19"/>
      <c r="O16" s="15"/>
      <c r="P16" s="15">
        <v>1.920579297790927</v>
      </c>
      <c r="Q16" s="19"/>
      <c r="R16" s="15"/>
      <c r="S16" s="15"/>
      <c r="T16" s="15"/>
    </row>
    <row r="17" spans="1:20" ht="12.75">
      <c r="A17" s="13">
        <f t="shared" si="0"/>
        <v>2002</v>
      </c>
      <c r="C17" s="19">
        <v>0.184</v>
      </c>
      <c r="D17" s="19">
        <f t="shared" si="1"/>
        <v>0.8160000000000001</v>
      </c>
      <c r="E17" s="15">
        <v>2.047016999888647</v>
      </c>
      <c r="F17" s="15">
        <f t="shared" si="4"/>
        <v>0.5</v>
      </c>
      <c r="G17" s="15">
        <f t="shared" si="5"/>
        <v>0.34</v>
      </c>
      <c r="H17" s="15">
        <f t="shared" si="6"/>
        <v>0.6242105412903128</v>
      </c>
      <c r="I17" s="15">
        <f t="shared" si="7"/>
        <v>0.0168</v>
      </c>
      <c r="J17" s="19"/>
      <c r="K17" s="19">
        <f t="shared" si="2"/>
        <v>0.30863515472300673</v>
      </c>
      <c r="L17" s="19">
        <f t="shared" si="8"/>
        <v>0.26734194452824545</v>
      </c>
      <c r="M17" s="19">
        <f t="shared" si="3"/>
        <v>1.1544584044513768</v>
      </c>
      <c r="N17" s="19"/>
      <c r="O17" s="15">
        <f>P17</f>
        <v>2.047016999888647</v>
      </c>
      <c r="P17" s="15">
        <v>2.047016999888647</v>
      </c>
      <c r="Q17" s="19"/>
      <c r="R17" s="15"/>
      <c r="S17" s="15"/>
      <c r="T17" s="15"/>
    </row>
    <row r="18" spans="1:20" ht="12.75">
      <c r="A18" s="13">
        <f t="shared" si="0"/>
        <v>2003</v>
      </c>
      <c r="B18" s="22"/>
      <c r="C18" s="1">
        <f>C17*(1+C30)</f>
        <v>0.1881745261318072</v>
      </c>
      <c r="D18" s="19">
        <f t="shared" si="1"/>
        <v>0.8118254738681928</v>
      </c>
      <c r="E18" s="19"/>
      <c r="F18" s="15">
        <f t="shared" si="4"/>
        <v>0.5</v>
      </c>
      <c r="G18" s="15">
        <f t="shared" si="5"/>
        <v>0.34</v>
      </c>
      <c r="H18" s="15">
        <f t="shared" si="6"/>
        <v>0.6242105412903128</v>
      </c>
      <c r="I18" s="15">
        <f t="shared" si="7"/>
        <v>0.0168</v>
      </c>
      <c r="J18" s="19"/>
      <c r="K18" s="19">
        <f t="shared" si="2"/>
        <v>0.3143564054454252</v>
      </c>
      <c r="L18" s="19">
        <f t="shared" si="8"/>
        <v>0.26734194452824545</v>
      </c>
      <c r="M18" s="19">
        <f t="shared" si="3"/>
        <v>1.1758589023512267</v>
      </c>
      <c r="N18" s="19"/>
      <c r="O18" s="15">
        <f aca="true" t="shared" si="9" ref="O18:O28">F18/(1-F18)*H18*(1+I18)^(A18-1993)*(C17/D17)^(G18-1)</f>
        <v>1.9707077093811243</v>
      </c>
      <c r="Q18" s="19"/>
      <c r="R18" s="15"/>
      <c r="S18" s="15"/>
      <c r="T18" s="15"/>
    </row>
    <row r="19" spans="1:20" ht="12.75">
      <c r="A19" s="13">
        <f t="shared" si="0"/>
        <v>2004</v>
      </c>
      <c r="C19" s="1">
        <f>C18*(1+C30)</f>
        <v>0.1924437624180989</v>
      </c>
      <c r="D19" s="19">
        <f t="shared" si="1"/>
        <v>0.8075562375819011</v>
      </c>
      <c r="E19" s="19"/>
      <c r="F19" s="15">
        <f t="shared" si="4"/>
        <v>0.5</v>
      </c>
      <c r="G19" s="15">
        <f t="shared" si="5"/>
        <v>0.34</v>
      </c>
      <c r="H19" s="15">
        <f t="shared" si="6"/>
        <v>0.6242105412903128</v>
      </c>
      <c r="I19" s="15">
        <f t="shared" si="7"/>
        <v>0.0168</v>
      </c>
      <c r="J19" s="19"/>
      <c r="K19" s="19">
        <f t="shared" si="2"/>
        <v>0.32028863914098016</v>
      </c>
      <c r="L19" s="19">
        <f t="shared" si="8"/>
        <v>0.26734194452824545</v>
      </c>
      <c r="M19" s="19">
        <f t="shared" si="3"/>
        <v>1.1980485879466651</v>
      </c>
      <c r="N19" s="19"/>
      <c r="O19" s="15">
        <f t="shared" si="9"/>
        <v>1.967692491079457</v>
      </c>
      <c r="Q19" s="19"/>
      <c r="R19" s="15"/>
      <c r="S19" s="15"/>
      <c r="T19" s="15"/>
    </row>
    <row r="20" spans="1:20" ht="12.75">
      <c r="A20" s="13">
        <f t="shared" si="0"/>
        <v>2005</v>
      </c>
      <c r="C20" s="1">
        <f>C19*(1+C30)</f>
        <v>0.19680985760895572</v>
      </c>
      <c r="D20" s="19">
        <f t="shared" si="1"/>
        <v>0.8031901423910442</v>
      </c>
      <c r="E20" s="19"/>
      <c r="F20" s="15">
        <f t="shared" si="4"/>
        <v>0.5</v>
      </c>
      <c r="G20" s="15">
        <f t="shared" si="5"/>
        <v>0.34</v>
      </c>
      <c r="H20" s="15">
        <f t="shared" si="6"/>
        <v>0.6242105412903128</v>
      </c>
      <c r="I20" s="15">
        <f t="shared" si="7"/>
        <v>0.0168</v>
      </c>
      <c r="J20" s="19"/>
      <c r="K20" s="19">
        <f t="shared" si="2"/>
        <v>0.3264408546015207</v>
      </c>
      <c r="L20" s="19">
        <f t="shared" si="8"/>
        <v>0.26734194452824545</v>
      </c>
      <c r="M20" s="19">
        <f t="shared" si="3"/>
        <v>1.2210611214695917</v>
      </c>
      <c r="N20" s="19"/>
      <c r="O20" s="15">
        <f t="shared" si="9"/>
        <v>1.9644955410139044</v>
      </c>
      <c r="Q20" s="19"/>
      <c r="R20" s="15"/>
      <c r="S20" s="15"/>
      <c r="T20" s="15"/>
    </row>
    <row r="21" spans="1:20" ht="12.75">
      <c r="A21" s="13">
        <f t="shared" si="0"/>
        <v>2006</v>
      </c>
      <c r="C21" s="1">
        <f>C20*(1+C30)</f>
        <v>0.20127500920453095</v>
      </c>
      <c r="D21" s="19">
        <f t="shared" si="1"/>
        <v>0.798724990795469</v>
      </c>
      <c r="E21" s="19"/>
      <c r="F21" s="15">
        <f t="shared" si="4"/>
        <v>0.5</v>
      </c>
      <c r="G21" s="15">
        <f t="shared" si="5"/>
        <v>0.34</v>
      </c>
      <c r="H21" s="15">
        <f t="shared" si="6"/>
        <v>0.6242105412903128</v>
      </c>
      <c r="I21" s="15">
        <f t="shared" si="7"/>
        <v>0.0168</v>
      </c>
      <c r="J21" s="19"/>
      <c r="K21" s="19">
        <f t="shared" si="2"/>
        <v>0.3328224822758906</v>
      </c>
      <c r="L21" s="19">
        <f t="shared" si="8"/>
        <v>0.26734194452824545</v>
      </c>
      <c r="M21" s="19">
        <f t="shared" si="3"/>
        <v>1.2449317777769322</v>
      </c>
      <c r="N21" s="19"/>
      <c r="O21" s="15">
        <f t="shared" si="9"/>
        <v>1.9611115229594838</v>
      </c>
      <c r="Q21" s="19"/>
      <c r="R21" s="15"/>
      <c r="S21" s="15"/>
      <c r="T21" s="15"/>
    </row>
    <row r="22" spans="1:20" ht="12.75">
      <c r="A22" s="13">
        <f t="shared" si="0"/>
        <v>2007</v>
      </c>
      <c r="C22" s="1">
        <f>C21*(1+C30)</f>
        <v>0.20584146456107472</v>
      </c>
      <c r="D22" s="19">
        <f t="shared" si="1"/>
        <v>0.7941585354389253</v>
      </c>
      <c r="E22" s="19"/>
      <c r="F22" s="15">
        <f t="shared" si="4"/>
        <v>0.5</v>
      </c>
      <c r="G22" s="15">
        <f t="shared" si="5"/>
        <v>0.34</v>
      </c>
      <c r="H22" s="15">
        <f t="shared" si="6"/>
        <v>0.6242105412903128</v>
      </c>
      <c r="I22" s="15">
        <f t="shared" si="7"/>
        <v>0.0168</v>
      </c>
      <c r="J22" s="19"/>
      <c r="K22" s="19">
        <f t="shared" si="2"/>
        <v>0.33944340650264354</v>
      </c>
      <c r="L22" s="19">
        <f t="shared" si="8"/>
        <v>0.26734194452824545</v>
      </c>
      <c r="M22" s="19">
        <f t="shared" si="3"/>
        <v>1.2696975295127337</v>
      </c>
      <c r="N22" s="19"/>
      <c r="O22" s="15">
        <f t="shared" si="9"/>
        <v>1.9575349282551202</v>
      </c>
      <c r="Q22" s="19"/>
      <c r="R22" s="15"/>
      <c r="S22" s="15"/>
      <c r="T22" s="15"/>
    </row>
    <row r="23" spans="1:20" ht="12.75">
      <c r="A23" s="13">
        <f t="shared" si="0"/>
        <v>2008</v>
      </c>
      <c r="C23" s="1">
        <f>C22*(1+C30)</f>
        <v>0.21051152202205123</v>
      </c>
      <c r="D23" s="19">
        <f t="shared" si="1"/>
        <v>0.7894884779779487</v>
      </c>
      <c r="E23" s="19"/>
      <c r="F23" s="15">
        <f t="shared" si="4"/>
        <v>0.5</v>
      </c>
      <c r="G23" s="15">
        <f t="shared" si="5"/>
        <v>0.34</v>
      </c>
      <c r="H23" s="15">
        <f t="shared" si="6"/>
        <v>0.6242105412903128</v>
      </c>
      <c r="I23" s="15">
        <f t="shared" si="7"/>
        <v>0.0168</v>
      </c>
      <c r="J23" s="19"/>
      <c r="K23" s="19">
        <f t="shared" si="2"/>
        <v>0.346313988902613</v>
      </c>
      <c r="L23" s="19">
        <f t="shared" si="8"/>
        <v>0.26734194452824545</v>
      </c>
      <c r="M23" s="19">
        <f t="shared" si="3"/>
        <v>1.2953971346087219</v>
      </c>
      <c r="N23" s="19"/>
      <c r="O23" s="15">
        <f t="shared" si="9"/>
        <v>1.9537600689034764</v>
      </c>
      <c r="Q23" s="19"/>
      <c r="R23" s="15"/>
      <c r="S23" s="15"/>
      <c r="T23" s="15"/>
    </row>
    <row r="24" spans="1:20" ht="12.75">
      <c r="A24" s="13">
        <f t="shared" si="0"/>
        <v>2009</v>
      </c>
      <c r="C24" s="1">
        <f>C23*(1+C30)</f>
        <v>0.2152875320749184</v>
      </c>
      <c r="D24" s="19">
        <f t="shared" si="1"/>
        <v>0.7847124679250816</v>
      </c>
      <c r="E24" s="19"/>
      <c r="F24" s="15">
        <f t="shared" si="4"/>
        <v>0.5</v>
      </c>
      <c r="G24" s="15">
        <f t="shared" si="5"/>
        <v>0.34</v>
      </c>
      <c r="H24" s="15">
        <f t="shared" si="6"/>
        <v>0.6242105412903128</v>
      </c>
      <c r="I24" s="15">
        <f t="shared" si="7"/>
        <v>0.0168</v>
      </c>
      <c r="J24" s="19"/>
      <c r="K24" s="19">
        <f t="shared" si="2"/>
        <v>0.35344509298640797</v>
      </c>
      <c r="L24" s="19">
        <f t="shared" si="8"/>
        <v>0.26734194452824545</v>
      </c>
      <c r="M24" s="19">
        <f t="shared" si="3"/>
        <v>1.3220712283293259</v>
      </c>
      <c r="N24" s="19"/>
      <c r="O24" s="15">
        <f t="shared" si="9"/>
        <v>1.949781070306198</v>
      </c>
      <c r="Q24" s="19"/>
      <c r="R24" s="15"/>
      <c r="S24" s="15"/>
      <c r="T24" s="15"/>
    </row>
    <row r="25" spans="1:20" ht="12.75">
      <c r="A25" s="13">
        <f t="shared" si="0"/>
        <v>2010</v>
      </c>
      <c r="C25" s="1">
        <f>C24*(1+C30)</f>
        <v>0.22017189853415228</v>
      </c>
      <c r="D25" s="19">
        <f t="shared" si="1"/>
        <v>0.7798281014658477</v>
      </c>
      <c r="E25" s="19"/>
      <c r="F25" s="15">
        <f t="shared" si="4"/>
        <v>0.5</v>
      </c>
      <c r="G25" s="15">
        <f t="shared" si="5"/>
        <v>0.34</v>
      </c>
      <c r="H25" s="15">
        <f t="shared" si="6"/>
        <v>0.6242105412903128</v>
      </c>
      <c r="I25" s="15">
        <f t="shared" si="7"/>
        <v>0.0168</v>
      </c>
      <c r="J25" s="19"/>
      <c r="K25" s="19">
        <f t="shared" si="2"/>
        <v>0.3608481100333686</v>
      </c>
      <c r="L25" s="19">
        <f t="shared" si="8"/>
        <v>0.26734194452824545</v>
      </c>
      <c r="M25" s="19">
        <f t="shared" si="3"/>
        <v>1.3497624200726346</v>
      </c>
      <c r="N25" s="19"/>
      <c r="O25" s="15">
        <f t="shared" si="9"/>
        <v>1.9455918636092118</v>
      </c>
      <c r="Q25" s="19"/>
      <c r="R25" s="15"/>
      <c r="S25" s="15"/>
      <c r="T25" s="15"/>
    </row>
    <row r="26" spans="1:20" ht="12.75">
      <c r="A26" s="13">
        <f t="shared" si="0"/>
        <v>2011</v>
      </c>
      <c r="C26" s="1">
        <f>C25*(1+C30)</f>
        <v>0.2251670797511111</v>
      </c>
      <c r="D26" s="19">
        <f t="shared" si="1"/>
        <v>0.7748329202488888</v>
      </c>
      <c r="E26" s="19"/>
      <c r="F26" s="15">
        <f t="shared" si="4"/>
        <v>0.5</v>
      </c>
      <c r="G26" s="15">
        <f t="shared" si="5"/>
        <v>0.34</v>
      </c>
      <c r="H26" s="15">
        <f t="shared" si="6"/>
        <v>0.6242105412903128</v>
      </c>
      <c r="I26" s="15">
        <f t="shared" si="7"/>
        <v>0.0168</v>
      </c>
      <c r="J26" s="19"/>
      <c r="K26" s="19">
        <f t="shared" si="2"/>
        <v>0.36853498629983394</v>
      </c>
      <c r="L26" s="19">
        <f t="shared" si="8"/>
        <v>0.26734194452824545</v>
      </c>
      <c r="M26" s="19">
        <f t="shared" si="3"/>
        <v>1.3785153951436797</v>
      </c>
      <c r="N26" s="19"/>
      <c r="O26" s="15">
        <f t="shared" si="9"/>
        <v>1.9411861776304908</v>
      </c>
      <c r="Q26" s="19"/>
      <c r="R26" s="15"/>
      <c r="S26" s="15"/>
      <c r="T26" s="15"/>
    </row>
    <row r="27" spans="1:20" ht="12.75">
      <c r="A27" s="13">
        <f t="shared" si="0"/>
        <v>2012</v>
      </c>
      <c r="C27" s="1">
        <f>C26*(1+C30)</f>
        <v>0.2302755898513488</v>
      </c>
      <c r="D27" s="19">
        <f t="shared" si="1"/>
        <v>0.7697244101486512</v>
      </c>
      <c r="E27" s="19"/>
      <c r="F27" s="15">
        <f t="shared" si="4"/>
        <v>0.5</v>
      </c>
      <c r="G27" s="15">
        <f t="shared" si="5"/>
        <v>0.34</v>
      </c>
      <c r="H27" s="15">
        <f t="shared" si="6"/>
        <v>0.6242105412903128</v>
      </c>
      <c r="I27" s="15">
        <f t="shared" si="7"/>
        <v>0.0168</v>
      </c>
      <c r="J27" s="19"/>
      <c r="K27" s="19">
        <f t="shared" si="2"/>
        <v>0.37651825161564284</v>
      </c>
      <c r="L27" s="19">
        <f t="shared" si="8"/>
        <v>0.26734194452824545</v>
      </c>
      <c r="M27" s="19">
        <f t="shared" si="3"/>
        <v>1.4083770217204454</v>
      </c>
      <c r="N27" s="19"/>
      <c r="O27" s="15">
        <f t="shared" si="9"/>
        <v>1.9365575303402665</v>
      </c>
      <c r="Q27" s="19"/>
      <c r="R27" s="15"/>
      <c r="S27" s="15"/>
      <c r="T27" s="15"/>
    </row>
    <row r="28" spans="1:20" ht="12.75">
      <c r="A28" s="13">
        <f t="shared" si="0"/>
        <v>2013</v>
      </c>
      <c r="C28" s="1">
        <v>0.2355</v>
      </c>
      <c r="D28" s="19">
        <f t="shared" si="1"/>
        <v>0.7645</v>
      </c>
      <c r="E28" s="19"/>
      <c r="F28" s="15">
        <f t="shared" si="4"/>
        <v>0.5</v>
      </c>
      <c r="G28" s="15">
        <f t="shared" si="5"/>
        <v>0.34</v>
      </c>
      <c r="H28" s="15">
        <f t="shared" si="6"/>
        <v>0.6242105412903128</v>
      </c>
      <c r="I28" s="15">
        <f t="shared" si="7"/>
        <v>0.0168</v>
      </c>
      <c r="J28" s="19"/>
      <c r="K28" s="19">
        <f t="shared" si="2"/>
        <v>0.3848110494285707</v>
      </c>
      <c r="L28" s="19">
        <f t="shared" si="8"/>
        <v>0.26734194452824545</v>
      </c>
      <c r="M28" s="19">
        <f t="shared" si="3"/>
        <v>1.4393964632359226</v>
      </c>
      <c r="N28" s="19"/>
      <c r="O28" s="15">
        <f t="shared" si="9"/>
        <v>1.9316992198609364</v>
      </c>
      <c r="Q28" s="19"/>
      <c r="R28" s="15"/>
      <c r="S28" s="15"/>
      <c r="T28" s="15"/>
    </row>
    <row r="29" spans="3:20" ht="12.75">
      <c r="C29" s="19"/>
      <c r="D29" s="19"/>
      <c r="E29" s="19"/>
      <c r="F29" s="19"/>
      <c r="G29" s="19"/>
      <c r="H29" s="19"/>
      <c r="I29" s="19"/>
      <c r="J29" s="19"/>
      <c r="M29" s="19"/>
      <c r="N29" s="19"/>
      <c r="O29" s="15"/>
      <c r="Q29" s="19"/>
      <c r="R29" s="15"/>
      <c r="S29" s="15"/>
      <c r="T29" s="15"/>
    </row>
    <row r="30" spans="1:15" ht="12.75">
      <c r="A30" s="22" t="s">
        <v>385</v>
      </c>
      <c r="C30" s="13">
        <f>EXP(1/11*LN(C28/C17))-1</f>
        <v>0.0226876420206914</v>
      </c>
      <c r="H30" s="22" t="s">
        <v>77</v>
      </c>
      <c r="M30" s="19">
        <f>EXP(1/11*LN(M28/M17))-1</f>
        <v>0.020256300947363526</v>
      </c>
      <c r="O30" s="15"/>
    </row>
    <row r="31" spans="1:15" ht="12.75">
      <c r="A31" s="22"/>
      <c r="H31" s="22" t="s">
        <v>234</v>
      </c>
      <c r="M31" s="13">
        <f>EXP(1/9*LN(M17/M8))-1</f>
        <v>0.016087061123357227</v>
      </c>
      <c r="O31" s="15"/>
    </row>
    <row r="32" spans="1:15" ht="12.75">
      <c r="A32" s="22" t="s">
        <v>386</v>
      </c>
      <c r="H32" s="22"/>
      <c r="O32" s="15"/>
    </row>
    <row r="34" spans="1:10" ht="12.75">
      <c r="A34" s="22"/>
      <c r="D34" s="19"/>
      <c r="J34" s="19"/>
    </row>
    <row r="35" spans="4:10" ht="12.75">
      <c r="D35" s="19"/>
      <c r="J35" s="19"/>
    </row>
    <row r="36" spans="3:15" ht="12.75">
      <c r="C36" s="19"/>
      <c r="D36" s="19"/>
      <c r="F36" s="19"/>
      <c r="G36" s="19"/>
      <c r="H36" s="19"/>
      <c r="I36" s="19"/>
      <c r="K36" s="19"/>
      <c r="L36" s="19"/>
      <c r="M36" s="19"/>
      <c r="N36" s="19"/>
      <c r="O36" s="15"/>
    </row>
    <row r="37" spans="4:10" ht="12.75">
      <c r="D37" s="19"/>
      <c r="J37" s="19"/>
    </row>
    <row r="38" spans="4:14" ht="12.75">
      <c r="D38" s="19"/>
      <c r="H38" s="22"/>
      <c r="J38" s="19"/>
      <c r="M38" s="19"/>
      <c r="N38" s="19"/>
    </row>
  </sheetData>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T38"/>
  <sheetViews>
    <sheetView workbookViewId="0" topLeftCell="A1">
      <selection activeCell="A2" sqref="A2"/>
    </sheetView>
  </sheetViews>
  <sheetFormatPr defaultColWidth="9.140625" defaultRowHeight="12.75"/>
  <cols>
    <col min="1" max="15" width="9.140625" style="13" customWidth="1"/>
    <col min="17" max="17" width="9.140625" style="13" customWidth="1"/>
    <col min="18" max="18" width="24.140625" style="13" customWidth="1"/>
    <col min="19" max="19" width="19.57421875" style="13" customWidth="1"/>
    <col min="20" max="20" width="14.7109375" style="13" customWidth="1"/>
    <col min="21" max="16384" width="9.140625" style="13" customWidth="1"/>
  </cols>
  <sheetData>
    <row r="1" ht="12.75">
      <c r="A1" s="22" t="s">
        <v>473</v>
      </c>
    </row>
    <row r="2" ht="12.75">
      <c r="A2" s="22"/>
    </row>
    <row r="3" spans="1:19" ht="12.75">
      <c r="A3" s="22"/>
      <c r="C3" s="22" t="s">
        <v>49</v>
      </c>
      <c r="D3" s="22" t="s">
        <v>50</v>
      </c>
      <c r="E3" s="22" t="s">
        <v>54</v>
      </c>
      <c r="F3" s="22" t="s">
        <v>56</v>
      </c>
      <c r="G3" s="22" t="s">
        <v>59</v>
      </c>
      <c r="H3" s="22" t="s">
        <v>55</v>
      </c>
      <c r="I3" s="22" t="s">
        <v>58</v>
      </c>
      <c r="J3" s="22"/>
      <c r="K3" s="22" t="s">
        <v>51</v>
      </c>
      <c r="L3" s="22" t="s">
        <v>57</v>
      </c>
      <c r="M3" s="22" t="s">
        <v>52</v>
      </c>
      <c r="N3" s="22"/>
      <c r="O3" s="22" t="s">
        <v>53</v>
      </c>
      <c r="P3" t="s">
        <v>78</v>
      </c>
      <c r="S3" s="22"/>
    </row>
    <row r="4" spans="1:19" ht="12.75">
      <c r="A4" s="22"/>
      <c r="C4" s="22"/>
      <c r="D4" s="22"/>
      <c r="E4" s="22"/>
      <c r="F4" s="22"/>
      <c r="G4" s="22"/>
      <c r="H4" s="22"/>
      <c r="I4" s="22"/>
      <c r="J4" s="22"/>
      <c r="K4" s="22"/>
      <c r="L4" s="22"/>
      <c r="M4" s="22"/>
      <c r="N4" s="22"/>
      <c r="O4" s="22"/>
      <c r="S4" s="22"/>
    </row>
    <row r="5" spans="1:19" ht="12.75">
      <c r="A5" s="22">
        <v>1990</v>
      </c>
      <c r="C5" s="22"/>
      <c r="D5" s="22"/>
      <c r="E5" s="22"/>
      <c r="F5" s="22"/>
      <c r="G5" s="22"/>
      <c r="H5" s="22"/>
      <c r="I5" s="22"/>
      <c r="J5" s="22"/>
      <c r="K5" s="22"/>
      <c r="L5" s="22"/>
      <c r="M5" s="22"/>
      <c r="N5" s="22"/>
      <c r="O5" s="22"/>
      <c r="S5" s="22"/>
    </row>
    <row r="6" ht="12.75">
      <c r="A6" s="13">
        <v>1991</v>
      </c>
    </row>
    <row r="7" spans="1:15" ht="12.75">
      <c r="A7" s="13">
        <v>1992</v>
      </c>
      <c r="O7" s="15"/>
    </row>
    <row r="8" spans="1:20" ht="12.75">
      <c r="A8" s="13">
        <f aca="true" t="shared" si="0" ref="A8:A28">A7+1</f>
        <v>1993</v>
      </c>
      <c r="C8" s="19">
        <v>0.15976331360946747</v>
      </c>
      <c r="D8" s="19">
        <f aca="true" t="shared" si="1" ref="D8:D28">1-C8</f>
        <v>0.8402366863905325</v>
      </c>
      <c r="E8" s="15">
        <v>1.8669871182803957</v>
      </c>
      <c r="F8" s="15">
        <v>0.5</v>
      </c>
      <c r="G8" s="15">
        <v>0.34</v>
      </c>
      <c r="H8" s="15">
        <f>E8*(1-F8)/F8*(C8/D8)^(1-0.34)</f>
        <v>0.6242105412903128</v>
      </c>
      <c r="I8" s="15">
        <v>0.0168</v>
      </c>
      <c r="J8" s="19"/>
      <c r="K8" s="19">
        <f aca="true" t="shared" si="2" ref="K8:K28">(F8*H8*(1+I8)^(A8-1993)*C8^(G8)+(1-F8)*D8^(G8))^(1/G8)</f>
        <v>0.26734194452824545</v>
      </c>
      <c r="L8" s="19">
        <f>K8</f>
        <v>0.26734194452824545</v>
      </c>
      <c r="M8" s="19">
        <f aca="true" t="shared" si="3" ref="M8:M28">K8/L8</f>
        <v>1</v>
      </c>
      <c r="N8" s="19"/>
      <c r="O8" s="15"/>
      <c r="P8" s="15">
        <v>1.8669871182803957</v>
      </c>
      <c r="Q8" s="19"/>
      <c r="R8" s="15"/>
      <c r="S8" s="15"/>
      <c r="T8" s="15"/>
    </row>
    <row r="9" spans="1:20" ht="12.75">
      <c r="A9" s="13">
        <f t="shared" si="0"/>
        <v>1994</v>
      </c>
      <c r="C9" s="19">
        <v>0.16216216216216217</v>
      </c>
      <c r="D9" s="19">
        <f t="shared" si="1"/>
        <v>0.8378378378378378</v>
      </c>
      <c r="E9" s="15">
        <v>1.8979368195283015</v>
      </c>
      <c r="F9" s="15">
        <f aca="true" t="shared" si="4" ref="F9:F28">F8</f>
        <v>0.5</v>
      </c>
      <c r="G9" s="15">
        <f aca="true" t="shared" si="5" ref="G9:G28">G8</f>
        <v>0.34</v>
      </c>
      <c r="H9" s="15">
        <f aca="true" t="shared" si="6" ref="H9:H28">H8</f>
        <v>0.6242105412903128</v>
      </c>
      <c r="I9" s="15">
        <f aca="true" t="shared" si="7" ref="I9:I28">I8</f>
        <v>0.0168</v>
      </c>
      <c r="J9" s="19"/>
      <c r="K9" s="19">
        <f t="shared" si="2"/>
        <v>0.27132240060587864</v>
      </c>
      <c r="L9" s="19">
        <f aca="true" t="shared" si="8" ref="L9:L28">L8</f>
        <v>0.26734194452824545</v>
      </c>
      <c r="M9" s="19">
        <f t="shared" si="3"/>
        <v>1.0148890069781498</v>
      </c>
      <c r="N9" s="19"/>
      <c r="O9" s="15"/>
      <c r="P9" s="15">
        <v>1.8979368195283015</v>
      </c>
      <c r="Q9" s="19"/>
      <c r="R9" s="15"/>
      <c r="S9" s="15"/>
      <c r="T9" s="15"/>
    </row>
    <row r="10" spans="1:20" ht="12.75">
      <c r="A10" s="13">
        <f t="shared" si="0"/>
        <v>1995</v>
      </c>
      <c r="C10" s="19">
        <v>0.15532879818594103</v>
      </c>
      <c r="D10" s="19">
        <f t="shared" si="1"/>
        <v>0.844671201814059</v>
      </c>
      <c r="E10" s="15">
        <v>1.858270381203828</v>
      </c>
      <c r="F10" s="15">
        <f t="shared" si="4"/>
        <v>0.5</v>
      </c>
      <c r="G10" s="15">
        <f t="shared" si="5"/>
        <v>0.34</v>
      </c>
      <c r="H10" s="15">
        <f t="shared" si="6"/>
        <v>0.6242105412903128</v>
      </c>
      <c r="I10" s="15">
        <f t="shared" si="7"/>
        <v>0.0168</v>
      </c>
      <c r="J10" s="19"/>
      <c r="K10" s="19">
        <f t="shared" si="2"/>
        <v>0.27337694351134056</v>
      </c>
      <c r="L10" s="19">
        <f t="shared" si="8"/>
        <v>0.26734194452824545</v>
      </c>
      <c r="M10" s="19">
        <f t="shared" si="3"/>
        <v>1.0225740820197315</v>
      </c>
      <c r="N10" s="19"/>
      <c r="O10" s="15"/>
      <c r="P10" s="15">
        <v>1.858270381203828</v>
      </c>
      <c r="Q10" s="19"/>
      <c r="R10" s="15"/>
      <c r="S10" s="15"/>
      <c r="T10" s="15"/>
    </row>
    <row r="11" spans="1:20" ht="12.75">
      <c r="A11" s="13">
        <f t="shared" si="0"/>
        <v>1996</v>
      </c>
      <c r="C11" s="19">
        <v>0.14578587699316628</v>
      </c>
      <c r="D11" s="19">
        <f t="shared" si="1"/>
        <v>0.8542141230068337</v>
      </c>
      <c r="E11" s="15">
        <v>1.84113500808426</v>
      </c>
      <c r="F11" s="15">
        <f t="shared" si="4"/>
        <v>0.5</v>
      </c>
      <c r="G11" s="15">
        <f t="shared" si="5"/>
        <v>0.34</v>
      </c>
      <c r="H11" s="15">
        <f t="shared" si="6"/>
        <v>0.6242105412903128</v>
      </c>
      <c r="I11" s="15">
        <f t="shared" si="7"/>
        <v>0.0168</v>
      </c>
      <c r="J11" s="19"/>
      <c r="K11" s="19">
        <f t="shared" si="2"/>
        <v>0.2745906611954335</v>
      </c>
      <c r="L11" s="19">
        <f t="shared" si="8"/>
        <v>0.26734194452824545</v>
      </c>
      <c r="M11" s="19">
        <f t="shared" si="3"/>
        <v>1.027114026869144</v>
      </c>
      <c r="N11" s="19"/>
      <c r="O11" s="15"/>
      <c r="P11" s="15">
        <v>1.84113500808426</v>
      </c>
      <c r="Q11" s="19"/>
      <c r="R11" s="15"/>
      <c r="S11" s="15"/>
      <c r="T11" s="15"/>
    </row>
    <row r="12" spans="1:20" ht="12.75">
      <c r="A12" s="13">
        <f t="shared" si="0"/>
        <v>1997</v>
      </c>
      <c r="C12" s="19">
        <v>0.15011037527593818</v>
      </c>
      <c r="D12" s="19">
        <f t="shared" si="1"/>
        <v>0.8498896247240618</v>
      </c>
      <c r="E12" s="15">
        <v>2.06036379615491</v>
      </c>
      <c r="F12" s="15">
        <f t="shared" si="4"/>
        <v>0.5</v>
      </c>
      <c r="G12" s="15">
        <f t="shared" si="5"/>
        <v>0.34</v>
      </c>
      <c r="H12" s="15">
        <f t="shared" si="6"/>
        <v>0.6242105412903128</v>
      </c>
      <c r="I12" s="15">
        <f t="shared" si="7"/>
        <v>0.0168</v>
      </c>
      <c r="J12" s="19"/>
      <c r="K12" s="19">
        <f t="shared" si="2"/>
        <v>0.2793530685319945</v>
      </c>
      <c r="L12" s="19">
        <f t="shared" si="8"/>
        <v>0.26734194452824545</v>
      </c>
      <c r="M12" s="19">
        <f t="shared" si="3"/>
        <v>1.0449279443408852</v>
      </c>
      <c r="N12" s="19"/>
      <c r="O12" s="15"/>
      <c r="P12" s="15">
        <v>2.06036379615491</v>
      </c>
      <c r="Q12" s="19"/>
      <c r="R12" s="15"/>
      <c r="S12" s="15"/>
      <c r="T12" s="15"/>
    </row>
    <row r="13" spans="1:20" ht="12.75">
      <c r="A13" s="13">
        <f t="shared" si="0"/>
        <v>1998</v>
      </c>
      <c r="C13" s="19">
        <v>0.1620421753607103</v>
      </c>
      <c r="D13" s="19">
        <f t="shared" si="1"/>
        <v>0.8379578246392897</v>
      </c>
      <c r="E13" s="15">
        <v>2.2831269944251007</v>
      </c>
      <c r="F13" s="15">
        <f t="shared" si="4"/>
        <v>0.5</v>
      </c>
      <c r="G13" s="15">
        <f t="shared" si="5"/>
        <v>0.34</v>
      </c>
      <c r="H13" s="15">
        <f t="shared" si="6"/>
        <v>0.6242105412903128</v>
      </c>
      <c r="I13" s="15">
        <f t="shared" si="7"/>
        <v>0.0168</v>
      </c>
      <c r="J13" s="19"/>
      <c r="K13" s="19">
        <f t="shared" si="2"/>
        <v>0.2862052825822729</v>
      </c>
      <c r="L13" s="19">
        <f t="shared" si="8"/>
        <v>0.26734194452824545</v>
      </c>
      <c r="M13" s="19">
        <f t="shared" si="3"/>
        <v>1.0705588421125383</v>
      </c>
      <c r="N13" s="19"/>
      <c r="O13" s="15"/>
      <c r="P13" s="15">
        <v>2.2831269944251007</v>
      </c>
      <c r="Q13" s="19"/>
      <c r="R13" s="15"/>
      <c r="S13" s="15"/>
      <c r="T13" s="15"/>
    </row>
    <row r="14" spans="1:20" ht="12.75">
      <c r="A14" s="13">
        <f t="shared" si="0"/>
        <v>1999</v>
      </c>
      <c r="C14" s="19">
        <v>0.16930022573363435</v>
      </c>
      <c r="D14" s="19">
        <f t="shared" si="1"/>
        <v>0.8306997742663657</v>
      </c>
      <c r="E14" s="15">
        <v>1.9384664714995343</v>
      </c>
      <c r="F14" s="15">
        <f t="shared" si="4"/>
        <v>0.5</v>
      </c>
      <c r="G14" s="15">
        <f t="shared" si="5"/>
        <v>0.34</v>
      </c>
      <c r="H14" s="15">
        <f t="shared" si="6"/>
        <v>0.6242105412903128</v>
      </c>
      <c r="I14" s="15">
        <f t="shared" si="7"/>
        <v>0.0168</v>
      </c>
      <c r="J14" s="19"/>
      <c r="K14" s="19">
        <f t="shared" si="2"/>
        <v>0.29199753478875107</v>
      </c>
      <c r="L14" s="19">
        <f t="shared" si="8"/>
        <v>0.26734194452824545</v>
      </c>
      <c r="M14" s="19">
        <f t="shared" si="3"/>
        <v>1.0922249230438312</v>
      </c>
      <c r="N14" s="19"/>
      <c r="O14" s="15"/>
      <c r="P14" s="15">
        <v>1.9384664714995343</v>
      </c>
      <c r="Q14" s="19"/>
      <c r="R14" s="15"/>
      <c r="S14" s="15"/>
      <c r="T14" s="15"/>
    </row>
    <row r="15" spans="1:20" ht="12.75">
      <c r="A15" s="13">
        <f t="shared" si="0"/>
        <v>2000</v>
      </c>
      <c r="C15" s="19">
        <v>0.17222222222222222</v>
      </c>
      <c r="D15" s="19">
        <f t="shared" si="1"/>
        <v>0.8277777777777777</v>
      </c>
      <c r="E15" s="15">
        <v>1.8966932540167463</v>
      </c>
      <c r="F15" s="15">
        <f t="shared" si="4"/>
        <v>0.5</v>
      </c>
      <c r="G15" s="15">
        <f t="shared" si="5"/>
        <v>0.34</v>
      </c>
      <c r="H15" s="15">
        <f t="shared" si="6"/>
        <v>0.6242105412903128</v>
      </c>
      <c r="I15" s="15">
        <f t="shared" si="7"/>
        <v>0.0168</v>
      </c>
      <c r="J15" s="19"/>
      <c r="K15" s="19">
        <f t="shared" si="2"/>
        <v>0.29688550386835694</v>
      </c>
      <c r="L15" s="19">
        <f t="shared" si="8"/>
        <v>0.26734194452824545</v>
      </c>
      <c r="M15" s="19">
        <f t="shared" si="3"/>
        <v>1.1105085077175016</v>
      </c>
      <c r="N15" s="19"/>
      <c r="O15" s="15"/>
      <c r="P15" s="15">
        <v>1.8966932540167463</v>
      </c>
      <c r="Q15" s="19"/>
      <c r="R15" s="15"/>
      <c r="S15" s="15"/>
      <c r="T15" s="15"/>
    </row>
    <row r="16" spans="1:20" ht="12.75">
      <c r="A16" s="13">
        <f t="shared" si="0"/>
        <v>2001</v>
      </c>
      <c r="C16" s="19">
        <v>0.1726775956284153</v>
      </c>
      <c r="D16" s="19">
        <f t="shared" si="1"/>
        <v>0.8273224043715847</v>
      </c>
      <c r="E16" s="15">
        <v>1.920579297790927</v>
      </c>
      <c r="F16" s="15">
        <f t="shared" si="4"/>
        <v>0.5</v>
      </c>
      <c r="G16" s="15">
        <f t="shared" si="5"/>
        <v>0.34</v>
      </c>
      <c r="H16" s="15">
        <f t="shared" si="6"/>
        <v>0.6242105412903128</v>
      </c>
      <c r="I16" s="15">
        <f t="shared" si="7"/>
        <v>0.0168</v>
      </c>
      <c r="J16" s="19"/>
      <c r="K16" s="19">
        <f t="shared" si="2"/>
        <v>0.3012988761544915</v>
      </c>
      <c r="L16" s="19">
        <f t="shared" si="8"/>
        <v>0.26734194452824545</v>
      </c>
      <c r="M16" s="19">
        <f t="shared" si="3"/>
        <v>1.1270168498481106</v>
      </c>
      <c r="N16" s="19"/>
      <c r="O16" s="15"/>
      <c r="P16" s="15">
        <v>1.920579297790927</v>
      </c>
      <c r="Q16" s="19"/>
      <c r="R16" s="15"/>
      <c r="S16" s="15"/>
      <c r="T16" s="15"/>
    </row>
    <row r="17" spans="1:20" ht="12.75">
      <c r="A17" s="13">
        <f t="shared" si="0"/>
        <v>2002</v>
      </c>
      <c r="C17" s="19">
        <v>0.184</v>
      </c>
      <c r="D17" s="19">
        <f t="shared" si="1"/>
        <v>0.8160000000000001</v>
      </c>
      <c r="E17" s="15">
        <v>2.047016999888647</v>
      </c>
      <c r="F17" s="15">
        <f t="shared" si="4"/>
        <v>0.5</v>
      </c>
      <c r="G17" s="15">
        <f t="shared" si="5"/>
        <v>0.34</v>
      </c>
      <c r="H17" s="15">
        <f t="shared" si="6"/>
        <v>0.6242105412903128</v>
      </c>
      <c r="I17" s="15">
        <f t="shared" si="7"/>
        <v>0.0168</v>
      </c>
      <c r="J17" s="19"/>
      <c r="K17" s="19">
        <f t="shared" si="2"/>
        <v>0.30863515472300673</v>
      </c>
      <c r="L17" s="19">
        <f t="shared" si="8"/>
        <v>0.26734194452824545</v>
      </c>
      <c r="M17" s="19">
        <f t="shared" si="3"/>
        <v>1.1544584044513768</v>
      </c>
      <c r="N17" s="19"/>
      <c r="O17" s="15">
        <f>P17</f>
        <v>2.047016999888647</v>
      </c>
      <c r="P17" s="15">
        <v>2.047016999888647</v>
      </c>
      <c r="Q17" s="19"/>
      <c r="R17" s="15"/>
      <c r="S17" s="15"/>
      <c r="T17" s="15"/>
    </row>
    <row r="18" spans="1:20" ht="12.75">
      <c r="A18" s="13">
        <f t="shared" si="0"/>
        <v>2003</v>
      </c>
      <c r="B18" s="22"/>
      <c r="C18" s="1">
        <f>C17*(1+C30)</f>
        <v>0.1944845798520528</v>
      </c>
      <c r="D18" s="19">
        <f t="shared" si="1"/>
        <v>0.8055154201479472</v>
      </c>
      <c r="E18" s="19"/>
      <c r="F18" s="15">
        <f t="shared" si="4"/>
        <v>0.5</v>
      </c>
      <c r="G18" s="15">
        <f t="shared" si="5"/>
        <v>0.34</v>
      </c>
      <c r="H18" s="15">
        <f t="shared" si="6"/>
        <v>0.6242105412903128</v>
      </c>
      <c r="I18" s="15">
        <f t="shared" si="7"/>
        <v>0.0168</v>
      </c>
      <c r="J18" s="19"/>
      <c r="K18" s="19">
        <f t="shared" si="2"/>
        <v>0.3158965157315467</v>
      </c>
      <c r="L18" s="19">
        <f t="shared" si="8"/>
        <v>0.26734194452824545</v>
      </c>
      <c r="M18" s="19">
        <f t="shared" si="3"/>
        <v>1.1816197278320137</v>
      </c>
      <c r="N18" s="19"/>
      <c r="O18" s="15">
        <f aca="true" t="shared" si="9" ref="O18:O28">F18/(1-F18)*H18*(1+I18)^(A18-1993)*(C17/D17)^(G18-1)</f>
        <v>1.9707077093811243</v>
      </c>
      <c r="Q18" s="19"/>
      <c r="R18" s="15"/>
      <c r="S18" s="15"/>
      <c r="T18" s="15"/>
    </row>
    <row r="19" spans="1:20" ht="12.75">
      <c r="A19" s="13">
        <f t="shared" si="0"/>
        <v>2004</v>
      </c>
      <c r="C19" s="1">
        <f>C18*(1+C30)</f>
        <v>0.20556658587081253</v>
      </c>
      <c r="D19" s="19">
        <f t="shared" si="1"/>
        <v>0.7944334141291874</v>
      </c>
      <c r="E19" s="19"/>
      <c r="F19" s="15">
        <f t="shared" si="4"/>
        <v>0.5</v>
      </c>
      <c r="G19" s="15">
        <f t="shared" si="5"/>
        <v>0.34</v>
      </c>
      <c r="H19" s="15">
        <f t="shared" si="6"/>
        <v>0.6242105412903128</v>
      </c>
      <c r="I19" s="15">
        <f t="shared" si="7"/>
        <v>0.0168</v>
      </c>
      <c r="J19" s="19"/>
      <c r="K19" s="19">
        <f t="shared" si="2"/>
        <v>0.32345190886227637</v>
      </c>
      <c r="L19" s="19">
        <f t="shared" si="8"/>
        <v>0.26734194452824545</v>
      </c>
      <c r="M19" s="19">
        <f t="shared" si="3"/>
        <v>1.2098808865666149</v>
      </c>
      <c r="N19" s="19"/>
      <c r="O19" s="15">
        <f t="shared" si="9"/>
        <v>1.915431141533793</v>
      </c>
      <c r="Q19" s="19"/>
      <c r="R19" s="15"/>
      <c r="S19" s="15"/>
      <c r="T19" s="15"/>
    </row>
    <row r="20" spans="1:20" ht="12.75">
      <c r="A20" s="13">
        <f t="shared" si="0"/>
        <v>2005</v>
      </c>
      <c r="C20" s="1">
        <f>C19*(1+C30)</f>
        <v>0.2172800602429669</v>
      </c>
      <c r="D20" s="19">
        <f t="shared" si="1"/>
        <v>0.7827199397570331</v>
      </c>
      <c r="E20" s="19"/>
      <c r="F20" s="15">
        <f t="shared" si="4"/>
        <v>0.5</v>
      </c>
      <c r="G20" s="15">
        <f t="shared" si="5"/>
        <v>0.34</v>
      </c>
      <c r="H20" s="15">
        <f t="shared" si="6"/>
        <v>0.6242105412903128</v>
      </c>
      <c r="I20" s="15">
        <f t="shared" si="7"/>
        <v>0.0168</v>
      </c>
      <c r="J20" s="19"/>
      <c r="K20" s="19">
        <f t="shared" si="2"/>
        <v>0.3313094569312819</v>
      </c>
      <c r="L20" s="19">
        <f t="shared" si="8"/>
        <v>0.26734194452824545</v>
      </c>
      <c r="M20" s="19">
        <f t="shared" si="3"/>
        <v>1.2392722642753056</v>
      </c>
      <c r="N20" s="19"/>
      <c r="O20" s="15">
        <f t="shared" si="9"/>
        <v>1.8605735189544366</v>
      </c>
      <c r="Q20" s="19"/>
      <c r="R20" s="15"/>
      <c r="S20" s="15"/>
      <c r="T20" s="15"/>
    </row>
    <row r="21" spans="1:20" ht="12.75">
      <c r="A21" s="13">
        <f t="shared" si="0"/>
        <v>2006</v>
      </c>
      <c r="C21" s="1">
        <f>C20*(1+C30)</f>
        <v>0.22966098492707684</v>
      </c>
      <c r="D21" s="19">
        <f t="shared" si="1"/>
        <v>0.7703390150729231</v>
      </c>
      <c r="E21" s="19"/>
      <c r="F21" s="15">
        <f t="shared" si="4"/>
        <v>0.5</v>
      </c>
      <c r="G21" s="15">
        <f t="shared" si="5"/>
        <v>0.34</v>
      </c>
      <c r="H21" s="15">
        <f t="shared" si="6"/>
        <v>0.6242105412903128</v>
      </c>
      <c r="I21" s="15">
        <f t="shared" si="7"/>
        <v>0.0168</v>
      </c>
      <c r="J21" s="19"/>
      <c r="K21" s="19">
        <f t="shared" si="2"/>
        <v>0.3394765478762758</v>
      </c>
      <c r="L21" s="19">
        <f t="shared" si="8"/>
        <v>0.26734194452824545</v>
      </c>
      <c r="M21" s="19">
        <f t="shared" si="3"/>
        <v>1.2698214957451583</v>
      </c>
      <c r="N21" s="19"/>
      <c r="O21" s="15">
        <f t="shared" si="9"/>
        <v>1.806093346883411</v>
      </c>
      <c r="Q21" s="19"/>
      <c r="R21" s="15"/>
      <c r="S21" s="15"/>
      <c r="T21" s="15"/>
    </row>
    <row r="22" spans="1:20" ht="12.75">
      <c r="A22" s="13">
        <f t="shared" si="0"/>
        <v>2007</v>
      </c>
      <c r="C22" s="1">
        <f>C21*(1+C30)</f>
        <v>0.24274739218451724</v>
      </c>
      <c r="D22" s="19">
        <f t="shared" si="1"/>
        <v>0.7572526078154828</v>
      </c>
      <c r="E22" s="19"/>
      <c r="F22" s="15">
        <f t="shared" si="4"/>
        <v>0.5</v>
      </c>
      <c r="G22" s="15">
        <f t="shared" si="5"/>
        <v>0.34</v>
      </c>
      <c r="H22" s="15">
        <f t="shared" si="6"/>
        <v>0.6242105412903128</v>
      </c>
      <c r="I22" s="15">
        <f t="shared" si="7"/>
        <v>0.0168</v>
      </c>
      <c r="J22" s="19"/>
      <c r="K22" s="19">
        <f t="shared" si="2"/>
        <v>0.34795957153367396</v>
      </c>
      <c r="L22" s="19">
        <f t="shared" si="8"/>
        <v>0.26734194452824545</v>
      </c>
      <c r="M22" s="19">
        <f t="shared" si="3"/>
        <v>1.301552482337507</v>
      </c>
      <c r="N22" s="19"/>
      <c r="O22" s="15">
        <f t="shared" si="9"/>
        <v>1.7519475778239721</v>
      </c>
      <c r="Q22" s="19"/>
      <c r="R22" s="15"/>
      <c r="S22" s="15"/>
      <c r="T22" s="15"/>
    </row>
    <row r="23" spans="1:20" ht="12.75">
      <c r="A23" s="13">
        <f t="shared" si="0"/>
        <v>2008</v>
      </c>
      <c r="C23" s="1">
        <f>C22*(1+C30)</f>
        <v>0.25657948140862674</v>
      </c>
      <c r="D23" s="19">
        <f t="shared" si="1"/>
        <v>0.7434205185913733</v>
      </c>
      <c r="E23" s="19"/>
      <c r="F23" s="15">
        <f t="shared" si="4"/>
        <v>0.5</v>
      </c>
      <c r="G23" s="15">
        <f t="shared" si="5"/>
        <v>0.34</v>
      </c>
      <c r="H23" s="15">
        <f t="shared" si="6"/>
        <v>0.6242105412903128</v>
      </c>
      <c r="I23" s="15">
        <f t="shared" si="7"/>
        <v>0.0168</v>
      </c>
      <c r="J23" s="19"/>
      <c r="K23" s="19">
        <f t="shared" si="2"/>
        <v>0.35676359484373416</v>
      </c>
      <c r="L23" s="19">
        <f t="shared" si="8"/>
        <v>0.26734194452824545</v>
      </c>
      <c r="M23" s="19">
        <f t="shared" si="3"/>
        <v>1.3344841770837088</v>
      </c>
      <c r="N23" s="19"/>
      <c r="O23" s="15">
        <f t="shared" si="9"/>
        <v>1.6980913774358073</v>
      </c>
      <c r="Q23" s="19"/>
      <c r="R23" s="15"/>
      <c r="S23" s="15"/>
      <c r="T23" s="15"/>
    </row>
    <row r="24" spans="1:20" ht="12.75">
      <c r="A24" s="13">
        <f t="shared" si="0"/>
        <v>2009</v>
      </c>
      <c r="C24" s="1">
        <f>C23*(1+C30)</f>
        <v>0.27119974261094765</v>
      </c>
      <c r="D24" s="19">
        <f t="shared" si="1"/>
        <v>0.7288002573890524</v>
      </c>
      <c r="E24" s="19"/>
      <c r="F24" s="15">
        <f t="shared" si="4"/>
        <v>0.5</v>
      </c>
      <c r="G24" s="15">
        <f t="shared" si="5"/>
        <v>0.34</v>
      </c>
      <c r="H24" s="15">
        <f t="shared" si="6"/>
        <v>0.6242105412903128</v>
      </c>
      <c r="I24" s="15">
        <f t="shared" si="7"/>
        <v>0.0168</v>
      </c>
      <c r="J24" s="19"/>
      <c r="K24" s="19">
        <f t="shared" si="2"/>
        <v>0.36589196082001957</v>
      </c>
      <c r="L24" s="19">
        <f t="shared" si="8"/>
        <v>0.26734194452824545</v>
      </c>
      <c r="M24" s="19">
        <f t="shared" si="3"/>
        <v>1.3686290846192377</v>
      </c>
      <c r="N24" s="19"/>
      <c r="O24" s="15">
        <f t="shared" si="9"/>
        <v>1.6444778522060912</v>
      </c>
      <c r="Q24" s="19"/>
      <c r="R24" s="15"/>
      <c r="S24" s="15"/>
      <c r="T24" s="15"/>
    </row>
    <row r="25" spans="1:20" ht="12.75">
      <c r="A25" s="13">
        <f t="shared" si="0"/>
        <v>2010</v>
      </c>
      <c r="C25" s="1">
        <f>C24*(1+C30)</f>
        <v>0.28665308694388597</v>
      </c>
      <c r="D25" s="19">
        <f t="shared" si="1"/>
        <v>0.7133469130561141</v>
      </c>
      <c r="E25" s="19"/>
      <c r="F25" s="15">
        <f t="shared" si="4"/>
        <v>0.5</v>
      </c>
      <c r="G25" s="15">
        <f t="shared" si="5"/>
        <v>0.34</v>
      </c>
      <c r="H25" s="15">
        <f t="shared" si="6"/>
        <v>0.6242105412903128</v>
      </c>
      <c r="I25" s="15">
        <f t="shared" si="7"/>
        <v>0.0168</v>
      </c>
      <c r="J25" s="19"/>
      <c r="K25" s="19">
        <f t="shared" si="2"/>
        <v>0.37534579266760587</v>
      </c>
      <c r="L25" s="19">
        <f t="shared" si="8"/>
        <v>0.26734194452824545</v>
      </c>
      <c r="M25" s="19">
        <f t="shared" si="3"/>
        <v>1.4039914063240067</v>
      </c>
      <c r="N25" s="19"/>
      <c r="O25" s="15">
        <f t="shared" si="9"/>
        <v>1.5910577305156899</v>
      </c>
      <c r="Q25" s="19"/>
      <c r="R25" s="15"/>
      <c r="S25" s="15"/>
      <c r="T25" s="15"/>
    </row>
    <row r="26" spans="1:20" ht="12.75">
      <c r="A26" s="13">
        <f t="shared" si="0"/>
        <v>2011</v>
      </c>
      <c r="C26" s="1">
        <f>C25*(1+C30)</f>
        <v>0.3029869846607371</v>
      </c>
      <c r="D26" s="19">
        <f t="shared" si="1"/>
        <v>0.6970130153392629</v>
      </c>
      <c r="E26" s="19"/>
      <c r="F26" s="15">
        <f t="shared" si="4"/>
        <v>0.5</v>
      </c>
      <c r="G26" s="15">
        <f t="shared" si="5"/>
        <v>0.34</v>
      </c>
      <c r="H26" s="15">
        <f t="shared" si="6"/>
        <v>0.6242105412903128</v>
      </c>
      <c r="I26" s="15">
        <f t="shared" si="7"/>
        <v>0.0168</v>
      </c>
      <c r="J26" s="19"/>
      <c r="K26" s="19">
        <f t="shared" si="2"/>
        <v>0.38512337922721657</v>
      </c>
      <c r="L26" s="19">
        <f t="shared" si="8"/>
        <v>0.26734194452824545</v>
      </c>
      <c r="M26" s="19">
        <f t="shared" si="3"/>
        <v>1.4405647415590155</v>
      </c>
      <c r="N26" s="19"/>
      <c r="O26" s="15">
        <f t="shared" si="9"/>
        <v>1.5377789864453202</v>
      </c>
      <c r="Q26" s="19"/>
      <c r="R26" s="15"/>
      <c r="S26" s="15"/>
      <c r="T26" s="15"/>
    </row>
    <row r="27" spans="1:20" ht="12.75">
      <c r="A27" s="13">
        <f t="shared" si="0"/>
        <v>2012</v>
      </c>
      <c r="C27" s="1">
        <f>C26*(1+C30)</f>
        <v>0.3202516109368686</v>
      </c>
      <c r="D27" s="19">
        <f t="shared" si="1"/>
        <v>0.6797483890631314</v>
      </c>
      <c r="E27" s="19"/>
      <c r="F27" s="15">
        <f t="shared" si="4"/>
        <v>0.5</v>
      </c>
      <c r="G27" s="15">
        <f t="shared" si="5"/>
        <v>0.34</v>
      </c>
      <c r="H27" s="15">
        <f t="shared" si="6"/>
        <v>0.6242105412903128</v>
      </c>
      <c r="I27" s="15">
        <f t="shared" si="7"/>
        <v>0.0168</v>
      </c>
      <c r="J27" s="19"/>
      <c r="K27" s="19">
        <f t="shared" si="2"/>
        <v>0.3952194109845643</v>
      </c>
      <c r="L27" s="19">
        <f t="shared" si="8"/>
        <v>0.26734194452824545</v>
      </c>
      <c r="M27" s="19">
        <f t="shared" si="3"/>
        <v>1.478329229937984</v>
      </c>
      <c r="N27" s="19"/>
      <c r="O27" s="15">
        <f t="shared" si="9"/>
        <v>1.484586392647068</v>
      </c>
      <c r="Q27" s="19"/>
      <c r="R27" s="15"/>
      <c r="S27" s="15"/>
      <c r="T27" s="15"/>
    </row>
    <row r="28" spans="1:20" ht="12.75">
      <c r="A28" s="13">
        <f t="shared" si="0"/>
        <v>2013</v>
      </c>
      <c r="C28" s="1">
        <v>0.3385</v>
      </c>
      <c r="D28" s="19">
        <f t="shared" si="1"/>
        <v>0.6615</v>
      </c>
      <c r="E28" s="19"/>
      <c r="F28" s="15">
        <f t="shared" si="4"/>
        <v>0.5</v>
      </c>
      <c r="G28" s="15">
        <f t="shared" si="5"/>
        <v>0.34</v>
      </c>
      <c r="H28" s="15">
        <f t="shared" si="6"/>
        <v>0.6242105412903128</v>
      </c>
      <c r="I28" s="15">
        <f t="shared" si="7"/>
        <v>0.0168</v>
      </c>
      <c r="J28" s="19"/>
      <c r="K28" s="19">
        <f t="shared" si="2"/>
        <v>0.40562402652682494</v>
      </c>
      <c r="L28" s="19">
        <f t="shared" si="8"/>
        <v>0.26734194452824545</v>
      </c>
      <c r="M28" s="19">
        <f t="shared" si="3"/>
        <v>1.5172479845711961</v>
      </c>
      <c r="N28" s="19"/>
      <c r="O28" s="15">
        <f t="shared" si="9"/>
        <v>1.4314209845487484</v>
      </c>
      <c r="Q28" s="19"/>
      <c r="R28" s="15"/>
      <c r="S28" s="15"/>
      <c r="T28" s="15"/>
    </row>
    <row r="29" spans="3:20" ht="12.75">
      <c r="C29" s="19"/>
      <c r="D29" s="19"/>
      <c r="E29" s="19"/>
      <c r="F29" s="19"/>
      <c r="G29" s="19"/>
      <c r="H29" s="19"/>
      <c r="I29" s="19"/>
      <c r="J29" s="19"/>
      <c r="M29" s="19"/>
      <c r="N29" s="19"/>
      <c r="O29" s="15"/>
      <c r="Q29" s="19"/>
      <c r="R29" s="15"/>
      <c r="S29" s="15"/>
      <c r="T29" s="15"/>
    </row>
    <row r="30" spans="1:15" ht="12.75">
      <c r="A30" s="22" t="s">
        <v>385</v>
      </c>
      <c r="C30" s="13">
        <f>EXP(1/11*LN(C28/C17))-1</f>
        <v>0.05698141223941744</v>
      </c>
      <c r="H30" s="22" t="s">
        <v>77</v>
      </c>
      <c r="M30" s="19">
        <f>EXP(1/11*LN(M28/M17))-1</f>
        <v>0.02515358434717907</v>
      </c>
      <c r="O30" s="15"/>
    </row>
    <row r="31" spans="1:15" ht="12.75">
      <c r="A31" s="22"/>
      <c r="H31" s="22" t="s">
        <v>234</v>
      </c>
      <c r="M31" s="13">
        <f>EXP(1/9*LN(M17/M8))-1</f>
        <v>0.016087061123357227</v>
      </c>
      <c r="O31" s="15"/>
    </row>
    <row r="32" spans="1:15" ht="12.75">
      <c r="A32" s="22" t="s">
        <v>386</v>
      </c>
      <c r="H32" s="22"/>
      <c r="O32" s="15"/>
    </row>
    <row r="34" spans="1:10" ht="12.75">
      <c r="A34" s="22"/>
      <c r="D34" s="19"/>
      <c r="J34" s="19"/>
    </row>
    <row r="35" spans="4:10" ht="12.75">
      <c r="D35" s="19"/>
      <c r="J35" s="19"/>
    </row>
    <row r="36" spans="3:15" ht="12.75">
      <c r="C36" s="19"/>
      <c r="D36" s="19"/>
      <c r="F36" s="19"/>
      <c r="G36" s="19"/>
      <c r="H36" s="19"/>
      <c r="I36" s="19"/>
      <c r="K36" s="19"/>
      <c r="L36" s="19"/>
      <c r="M36" s="19"/>
      <c r="N36" s="19"/>
      <c r="O36" s="15"/>
    </row>
    <row r="37" spans="4:10" ht="12.75">
      <c r="D37" s="19"/>
      <c r="J37" s="19"/>
    </row>
    <row r="38" spans="4:14" ht="12.75">
      <c r="D38" s="19"/>
      <c r="H38" s="22"/>
      <c r="J38" s="19"/>
      <c r="M38" s="19"/>
      <c r="N38" s="19"/>
    </row>
  </sheetData>
  <printOptions/>
  <pageMargins left="0.75" right="0.75" top="1" bottom="1" header="0.5" footer="0.5"/>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I38"/>
  <sheetViews>
    <sheetView workbookViewId="0" topLeftCell="A1">
      <selection activeCell="A35" sqref="A35"/>
    </sheetView>
  </sheetViews>
  <sheetFormatPr defaultColWidth="9.140625" defaultRowHeight="12.75"/>
  <sheetData>
    <row r="1" ht="12.75">
      <c r="A1" t="s">
        <v>440</v>
      </c>
    </row>
    <row r="3" spans="1:9" ht="12.75">
      <c r="A3" t="s">
        <v>441</v>
      </c>
      <c r="C3" t="s">
        <v>45</v>
      </c>
      <c r="D3" t="s">
        <v>442</v>
      </c>
      <c r="E3" t="s">
        <v>443</v>
      </c>
      <c r="F3" t="s">
        <v>444</v>
      </c>
      <c r="G3" t="s">
        <v>446</v>
      </c>
      <c r="I3" t="s">
        <v>461</v>
      </c>
    </row>
    <row r="5" spans="1:9" ht="12.75">
      <c r="A5" t="s">
        <v>445</v>
      </c>
      <c r="C5" s="10">
        <v>0.12</v>
      </c>
      <c r="D5" s="10">
        <v>2.3</v>
      </c>
      <c r="E5" s="10">
        <v>1.05</v>
      </c>
      <c r="F5" s="10">
        <v>0.7</v>
      </c>
      <c r="G5" s="10">
        <v>0.5</v>
      </c>
      <c r="H5" s="10"/>
      <c r="I5" s="10">
        <f>G5/F5+C5+D5+(1-F5)/F5*E5</f>
        <v>3.5842857142857145</v>
      </c>
    </row>
    <row r="6" spans="3:9" ht="12.75">
      <c r="C6" s="10"/>
      <c r="D6" s="10"/>
      <c r="E6" s="10"/>
      <c r="F6" s="10"/>
      <c r="G6" s="10"/>
      <c r="H6" s="10"/>
      <c r="I6" s="10"/>
    </row>
    <row r="7" spans="1:9" ht="12.75">
      <c r="A7" t="s">
        <v>447</v>
      </c>
      <c r="C7" s="10"/>
      <c r="D7" s="10"/>
      <c r="E7" s="10"/>
      <c r="F7" s="10"/>
      <c r="G7" s="10"/>
      <c r="H7" s="10"/>
      <c r="I7" s="10"/>
    </row>
    <row r="8" spans="3:9" ht="12.75">
      <c r="C8" s="10"/>
      <c r="D8" s="10"/>
      <c r="E8" s="10"/>
      <c r="F8" s="10"/>
      <c r="G8" s="10"/>
      <c r="H8" s="10"/>
      <c r="I8" s="10"/>
    </row>
    <row r="9" spans="1:9" ht="12.75">
      <c r="A9" t="s">
        <v>519</v>
      </c>
      <c r="C9" s="10">
        <v>0.12</v>
      </c>
      <c r="D9" s="10">
        <v>1.5</v>
      </c>
      <c r="E9" s="10">
        <v>1.05</v>
      </c>
      <c r="F9" s="10">
        <f>F5</f>
        <v>0.7</v>
      </c>
      <c r="G9" s="10">
        <v>0.9</v>
      </c>
      <c r="H9" s="10"/>
      <c r="I9" s="10">
        <f>G9/F9+C9+D9+(1-F9)/F9*E9</f>
        <v>3.355714285714286</v>
      </c>
    </row>
    <row r="10" spans="1:9" ht="12.75">
      <c r="A10" t="s">
        <v>520</v>
      </c>
      <c r="C10" s="10">
        <f>+C9</f>
        <v>0.12</v>
      </c>
      <c r="D10" s="10">
        <v>3.2</v>
      </c>
      <c r="E10" s="10">
        <v>1.05</v>
      </c>
      <c r="F10" s="10">
        <f>+F9</f>
        <v>0.7</v>
      </c>
      <c r="G10" s="10">
        <v>0.1</v>
      </c>
      <c r="H10" s="10"/>
      <c r="I10" s="10">
        <f>G10/F10+C10+D10+(1-F10)/F10*E10</f>
        <v>3.9128571428571433</v>
      </c>
    </row>
    <row r="11" spans="3:9" ht="12.75">
      <c r="C11" s="10"/>
      <c r="D11" s="10"/>
      <c r="E11" s="10"/>
      <c r="F11" s="10"/>
      <c r="G11" s="10"/>
      <c r="H11" s="10"/>
      <c r="I11" s="10"/>
    </row>
    <row r="12" spans="1:9" ht="12.75">
      <c r="A12" t="s">
        <v>521</v>
      </c>
      <c r="C12" s="10">
        <v>0.12</v>
      </c>
      <c r="D12" s="10">
        <v>2.3</v>
      </c>
      <c r="E12" s="10">
        <v>1.05</v>
      </c>
      <c r="F12" s="10">
        <v>0.7</v>
      </c>
      <c r="G12" s="10">
        <v>1.3</v>
      </c>
      <c r="H12" s="10"/>
      <c r="I12" s="10">
        <f>G12/F12+C12+D12+(1-F12)/F12*E12</f>
        <v>4.727142857142858</v>
      </c>
    </row>
    <row r="13" spans="1:9" ht="12.75">
      <c r="A13" t="s">
        <v>522</v>
      </c>
      <c r="C13" s="10">
        <v>0.12</v>
      </c>
      <c r="D13" s="10">
        <v>2.3</v>
      </c>
      <c r="E13" s="10">
        <v>1.05</v>
      </c>
      <c r="F13" s="10">
        <v>0.7</v>
      </c>
      <c r="G13" s="10">
        <v>-0.3</v>
      </c>
      <c r="H13" s="10"/>
      <c r="I13" s="10">
        <f>G13/F13+C13+D13+(1-F13)/F13*E13</f>
        <v>2.4414285714285713</v>
      </c>
    </row>
    <row r="15" ht="12.75">
      <c r="A15" t="s">
        <v>452</v>
      </c>
    </row>
    <row r="17" spans="1:9" ht="12.75">
      <c r="A17" t="s">
        <v>518</v>
      </c>
      <c r="C17" s="10">
        <v>-0.06</v>
      </c>
      <c r="D17" s="10">
        <v>2.3</v>
      </c>
      <c r="E17" s="10">
        <v>1.05</v>
      </c>
      <c r="F17" s="10">
        <v>0.7</v>
      </c>
      <c r="G17" s="10">
        <v>0.5</v>
      </c>
      <c r="H17" s="10"/>
      <c r="I17" s="10">
        <f>G17/F17+C17+D17+(1-F17)/F17*E17</f>
        <v>3.4042857142857144</v>
      </c>
    </row>
    <row r="18" spans="1:9" ht="12.75">
      <c r="A18" t="s">
        <v>463</v>
      </c>
      <c r="C18" s="10">
        <v>0.3</v>
      </c>
      <c r="D18" s="10">
        <v>2.3</v>
      </c>
      <c r="E18" s="10">
        <v>1.05</v>
      </c>
      <c r="F18" s="10">
        <v>0.7</v>
      </c>
      <c r="G18" s="10">
        <v>0.5</v>
      </c>
      <c r="H18" s="10"/>
      <c r="I18" s="10">
        <f>G18/F18+C18+D18+(1-F18)/F18*E18</f>
        <v>3.7642857142857142</v>
      </c>
    </row>
    <row r="19" spans="3:9" ht="12.75">
      <c r="C19" s="10"/>
      <c r="D19" s="10"/>
      <c r="E19" s="10"/>
      <c r="F19" s="10"/>
      <c r="G19" s="10"/>
      <c r="H19" s="10"/>
      <c r="I19" s="10"/>
    </row>
    <row r="20" spans="1:9" ht="12.75">
      <c r="A20" t="s">
        <v>453</v>
      </c>
      <c r="C20" s="10">
        <v>0.12</v>
      </c>
      <c r="D20" s="10">
        <v>2</v>
      </c>
      <c r="E20" s="10">
        <v>1.05</v>
      </c>
      <c r="F20" s="10">
        <v>0.7</v>
      </c>
      <c r="G20" s="10">
        <v>0.5</v>
      </c>
      <c r="H20" s="10"/>
      <c r="I20" s="10">
        <f aca="true" t="shared" si="0" ref="I20:I27">G20/F20+C20+D20+(1-F20)/F20*E20</f>
        <v>3.2842857142857147</v>
      </c>
    </row>
    <row r="21" spans="1:9" ht="12.75">
      <c r="A21" t="s">
        <v>454</v>
      </c>
      <c r="C21" s="10">
        <v>0.12</v>
      </c>
      <c r="D21" s="10">
        <v>2.5</v>
      </c>
      <c r="E21" s="10">
        <v>1.05</v>
      </c>
      <c r="F21" s="10">
        <v>0.7</v>
      </c>
      <c r="G21" s="10">
        <v>0.5</v>
      </c>
      <c r="H21" s="10"/>
      <c r="I21" s="10">
        <f t="shared" si="0"/>
        <v>3.7842857142857147</v>
      </c>
    </row>
    <row r="22" spans="3:9" ht="12.75">
      <c r="C22" s="10"/>
      <c r="D22" s="10"/>
      <c r="E22" s="10"/>
      <c r="F22" s="10"/>
      <c r="G22" s="10"/>
      <c r="H22" s="10"/>
      <c r="I22" s="10"/>
    </row>
    <row r="23" spans="1:9" ht="12.75">
      <c r="A23" t="s">
        <v>455</v>
      </c>
      <c r="C23" s="10">
        <v>0.12</v>
      </c>
      <c r="D23" s="10">
        <v>2.3</v>
      </c>
      <c r="E23" s="10">
        <v>0</v>
      </c>
      <c r="F23" s="10">
        <v>0.7</v>
      </c>
      <c r="G23" s="10">
        <v>0.5</v>
      </c>
      <c r="H23" s="10"/>
      <c r="I23" s="10">
        <f t="shared" si="0"/>
        <v>3.1342857142857143</v>
      </c>
    </row>
    <row r="24" spans="1:9" ht="12.75">
      <c r="A24" t="s">
        <v>505</v>
      </c>
      <c r="C24" s="10">
        <v>0.12</v>
      </c>
      <c r="D24" s="10">
        <v>2.3</v>
      </c>
      <c r="E24" s="10">
        <v>2.1</v>
      </c>
      <c r="F24" s="10">
        <v>0.7</v>
      </c>
      <c r="G24" s="10">
        <v>0.5</v>
      </c>
      <c r="H24" s="10"/>
      <c r="I24" s="10">
        <f t="shared" si="0"/>
        <v>4.034285714285715</v>
      </c>
    </row>
    <row r="25" spans="3:9" ht="12.75">
      <c r="C25" s="10"/>
      <c r="D25" s="10"/>
      <c r="E25" s="10"/>
      <c r="F25" s="10"/>
      <c r="G25" s="10"/>
      <c r="H25" s="10"/>
      <c r="I25" s="10"/>
    </row>
    <row r="26" spans="1:9" ht="12.75">
      <c r="A26" t="s">
        <v>456</v>
      </c>
      <c r="C26" s="10">
        <v>0.12</v>
      </c>
      <c r="D26" s="10">
        <v>2.3</v>
      </c>
      <c r="E26" s="10">
        <v>1.05</v>
      </c>
      <c r="F26" s="10">
        <v>0.7</v>
      </c>
      <c r="G26" s="10">
        <v>0.25</v>
      </c>
      <c r="H26" s="10"/>
      <c r="I26" s="10">
        <f t="shared" si="0"/>
        <v>3.2271428571428573</v>
      </c>
    </row>
    <row r="27" spans="1:9" ht="12.75">
      <c r="A27" t="s">
        <v>457</v>
      </c>
      <c r="C27" s="10">
        <v>0.12</v>
      </c>
      <c r="D27" s="10">
        <v>2.3</v>
      </c>
      <c r="E27" s="10">
        <v>1.05</v>
      </c>
      <c r="F27" s="10">
        <v>0.7</v>
      </c>
      <c r="G27" s="10">
        <v>0.75</v>
      </c>
      <c r="H27" s="10"/>
      <c r="I27" s="10">
        <f t="shared" si="0"/>
        <v>3.9414285714285713</v>
      </c>
    </row>
    <row r="29" ht="12.75">
      <c r="A29" t="s">
        <v>458</v>
      </c>
    </row>
    <row r="31" spans="1:9" ht="12.75">
      <c r="A31" t="s">
        <v>459</v>
      </c>
      <c r="I31">
        <v>2.3</v>
      </c>
    </row>
    <row r="33" spans="1:9" ht="12.75">
      <c r="A33" t="s">
        <v>465</v>
      </c>
      <c r="I33">
        <v>2.1</v>
      </c>
    </row>
    <row r="34" spans="1:9" ht="12.75">
      <c r="A34" t="s">
        <v>466</v>
      </c>
      <c r="I34">
        <v>2.5</v>
      </c>
    </row>
    <row r="38" ht="12.75">
      <c r="I38" s="10"/>
    </row>
  </sheetData>
  <printOptions/>
  <pageMargins left="0.75" right="0.75"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V43"/>
  <sheetViews>
    <sheetView workbookViewId="0" topLeftCell="F1">
      <selection activeCell="V30" sqref="V30"/>
    </sheetView>
  </sheetViews>
  <sheetFormatPr defaultColWidth="9.140625" defaultRowHeight="12.75"/>
  <sheetData>
    <row r="1" ht="12.75">
      <c r="A1" s="202" t="s">
        <v>474</v>
      </c>
    </row>
    <row r="3" spans="2:20" ht="12.75">
      <c r="B3" t="s">
        <v>104</v>
      </c>
      <c r="C3" t="s">
        <v>105</v>
      </c>
      <c r="D3" t="s">
        <v>106</v>
      </c>
      <c r="E3" t="s">
        <v>107</v>
      </c>
      <c r="F3" t="s">
        <v>108</v>
      </c>
      <c r="G3" t="s">
        <v>109</v>
      </c>
      <c r="H3" t="s">
        <v>110</v>
      </c>
      <c r="I3" t="s">
        <v>111</v>
      </c>
      <c r="J3" t="s">
        <v>112</v>
      </c>
      <c r="L3" t="s">
        <v>113</v>
      </c>
      <c r="N3" t="s">
        <v>114</v>
      </c>
      <c r="O3" t="s">
        <v>115</v>
      </c>
      <c r="P3" t="s">
        <v>116</v>
      </c>
      <c r="Q3" t="s">
        <v>117</v>
      </c>
      <c r="R3" t="s">
        <v>118</v>
      </c>
      <c r="S3" t="s">
        <v>119</v>
      </c>
      <c r="T3" t="s">
        <v>120</v>
      </c>
    </row>
    <row r="4" ht="12.75">
      <c r="A4" t="s">
        <v>121</v>
      </c>
    </row>
    <row r="5" spans="1:20" ht="12.75">
      <c r="A5" t="s">
        <v>122</v>
      </c>
      <c r="C5">
        <v>21110</v>
      </c>
      <c r="D5">
        <v>20680</v>
      </c>
      <c r="E5">
        <v>20340</v>
      </c>
      <c r="F5">
        <v>20280</v>
      </c>
      <c r="G5">
        <v>20150</v>
      </c>
      <c r="H5">
        <v>19910</v>
      </c>
      <c r="I5">
        <v>19300</v>
      </c>
      <c r="J5">
        <v>18810</v>
      </c>
      <c r="L5">
        <v>18320</v>
      </c>
      <c r="N5">
        <v>17920</v>
      </c>
      <c r="O5">
        <v>17680</v>
      </c>
      <c r="P5">
        <v>17330</v>
      </c>
      <c r="Q5">
        <v>16920</v>
      </c>
      <c r="R5">
        <v>17070</v>
      </c>
      <c r="S5">
        <v>16940</v>
      </c>
      <c r="T5" t="s">
        <v>123</v>
      </c>
    </row>
    <row r="6" spans="1:18" ht="12.75">
      <c r="A6" t="s">
        <v>80</v>
      </c>
      <c r="C6">
        <f aca="true" t="shared" si="0" ref="C6:I6">C5/D5-1</f>
        <v>0.020793036750483607</v>
      </c>
      <c r="D6">
        <f t="shared" si="0"/>
        <v>0.01671583087512296</v>
      </c>
      <c r="E6">
        <f t="shared" si="0"/>
        <v>0.002958579881656709</v>
      </c>
      <c r="F6">
        <f t="shared" si="0"/>
        <v>0.006451612903225712</v>
      </c>
      <c r="G6">
        <f t="shared" si="0"/>
        <v>0.012054244098443023</v>
      </c>
      <c r="H6">
        <f t="shared" si="0"/>
        <v>0.031606217616580334</v>
      </c>
      <c r="I6">
        <f t="shared" si="0"/>
        <v>0.026049973418394545</v>
      </c>
      <c r="J6">
        <f>J5/L5-1</f>
        <v>0.026746724890829743</v>
      </c>
      <c r="L6">
        <f>L5/N5-1</f>
        <v>0.022321428571428603</v>
      </c>
      <c r="N6">
        <f>N5/O5-1</f>
        <v>0.013574660633484115</v>
      </c>
      <c r="O6">
        <f>O5/P5-1</f>
        <v>0.020196191575302835</v>
      </c>
      <c r="P6">
        <f>P5/Q5-1</f>
        <v>0.024231678486997588</v>
      </c>
      <c r="Q6">
        <f>Q5/R5-1</f>
        <v>-0.008787346221441172</v>
      </c>
      <c r="R6">
        <f>R5/S5-1</f>
        <v>0.007674144037780328</v>
      </c>
    </row>
    <row r="7" spans="1:20" ht="12.75">
      <c r="A7" t="s">
        <v>124</v>
      </c>
      <c r="C7">
        <v>18420</v>
      </c>
      <c r="D7">
        <v>18030</v>
      </c>
      <c r="E7">
        <v>17710</v>
      </c>
      <c r="F7">
        <v>17630</v>
      </c>
      <c r="G7">
        <v>17480</v>
      </c>
      <c r="H7">
        <v>17210</v>
      </c>
      <c r="I7">
        <v>16630</v>
      </c>
      <c r="J7">
        <v>16200</v>
      </c>
      <c r="L7" t="s">
        <v>123</v>
      </c>
      <c r="N7" t="s">
        <v>123</v>
      </c>
      <c r="O7" t="s">
        <v>123</v>
      </c>
      <c r="P7" t="s">
        <v>123</v>
      </c>
      <c r="Q7" t="s">
        <v>123</v>
      </c>
      <c r="R7" t="s">
        <v>123</v>
      </c>
      <c r="S7" t="s">
        <v>123</v>
      </c>
      <c r="T7" t="s">
        <v>123</v>
      </c>
    </row>
    <row r="8" spans="1:9" ht="12.75">
      <c r="A8" t="s">
        <v>80</v>
      </c>
      <c r="C8">
        <f aca="true" t="shared" si="1" ref="C8:I8">C7/D7-1</f>
        <v>0.021630615640598982</v>
      </c>
      <c r="D8">
        <f t="shared" si="1"/>
        <v>0.01806888763410508</v>
      </c>
      <c r="E8">
        <f t="shared" si="1"/>
        <v>0.004537719795802531</v>
      </c>
      <c r="F8">
        <f t="shared" si="1"/>
        <v>0.008581235697940448</v>
      </c>
      <c r="G8">
        <f t="shared" si="1"/>
        <v>0.01568855316676343</v>
      </c>
      <c r="H8">
        <f t="shared" si="1"/>
        <v>0.03487672880336734</v>
      </c>
      <c r="I8">
        <f t="shared" si="1"/>
        <v>0.02654320987654324</v>
      </c>
    </row>
    <row r="9" spans="1:20" ht="12.75">
      <c r="A9" t="s">
        <v>125</v>
      </c>
      <c r="C9">
        <v>4400</v>
      </c>
      <c r="D9">
        <v>4220</v>
      </c>
      <c r="E9">
        <v>4059</v>
      </c>
      <c r="F9">
        <v>3940</v>
      </c>
      <c r="G9">
        <v>3840</v>
      </c>
      <c r="H9">
        <v>3720</v>
      </c>
      <c r="I9">
        <v>3460</v>
      </c>
      <c r="J9">
        <v>3350</v>
      </c>
      <c r="L9">
        <v>3230</v>
      </c>
      <c r="N9">
        <v>3080</v>
      </c>
      <c r="O9">
        <v>2940</v>
      </c>
      <c r="P9">
        <v>2790</v>
      </c>
      <c r="Q9" t="s">
        <v>123</v>
      </c>
      <c r="R9" t="s">
        <v>123</v>
      </c>
      <c r="S9" t="s">
        <v>123</v>
      </c>
      <c r="T9" t="s">
        <v>123</v>
      </c>
    </row>
    <row r="10" spans="1:15" ht="12.75">
      <c r="A10" t="s">
        <v>80</v>
      </c>
      <c r="C10">
        <f aca="true" t="shared" si="2" ref="C10:I10">C9/D9-1</f>
        <v>0.042654028436019065</v>
      </c>
      <c r="D10">
        <f t="shared" si="2"/>
        <v>0.03966494210396654</v>
      </c>
      <c r="E10">
        <f t="shared" si="2"/>
        <v>0.030203045685279095</v>
      </c>
      <c r="F10">
        <f t="shared" si="2"/>
        <v>0.02604166666666674</v>
      </c>
      <c r="G10">
        <f t="shared" si="2"/>
        <v>0.032258064516129004</v>
      </c>
      <c r="H10">
        <f t="shared" si="2"/>
        <v>0.07514450867052025</v>
      </c>
      <c r="I10">
        <f t="shared" si="2"/>
        <v>0.032835820895522394</v>
      </c>
      <c r="J10">
        <f>J9/L9-1</f>
        <v>0.037151702786377694</v>
      </c>
      <c r="L10">
        <f>L9/N9-1</f>
        <v>0.04870129870129869</v>
      </c>
      <c r="N10">
        <f>N9/O9-1</f>
        <v>0.04761904761904767</v>
      </c>
      <c r="O10">
        <f>O9/P9-1</f>
        <v>0.053763440860215006</v>
      </c>
    </row>
    <row r="12" spans="2:22" ht="12.75">
      <c r="B12" t="s">
        <v>121</v>
      </c>
      <c r="C12" t="s">
        <v>122</v>
      </c>
      <c r="D12" t="s">
        <v>80</v>
      </c>
      <c r="E12" t="s">
        <v>124</v>
      </c>
      <c r="F12" t="s">
        <v>80</v>
      </c>
      <c r="G12" t="s">
        <v>125</v>
      </c>
      <c r="H12" t="s">
        <v>80</v>
      </c>
      <c r="K12" t="s">
        <v>122</v>
      </c>
      <c r="L12" t="s">
        <v>80</v>
      </c>
      <c r="N12" t="s">
        <v>124</v>
      </c>
      <c r="O12" t="s">
        <v>80</v>
      </c>
      <c r="P12" t="s">
        <v>125</v>
      </c>
      <c r="Q12" t="s">
        <v>80</v>
      </c>
      <c r="T12" t="s">
        <v>126</v>
      </c>
      <c r="V12" t="s">
        <v>167</v>
      </c>
    </row>
    <row r="13" ht="12.75">
      <c r="A13" t="s">
        <v>104</v>
      </c>
    </row>
    <row r="14" spans="1:8" ht="12.75">
      <c r="A14" t="s">
        <v>105</v>
      </c>
      <c r="C14">
        <v>21110</v>
      </c>
      <c r="D14">
        <f>C6</f>
        <v>0.020793036750483607</v>
      </c>
      <c r="E14">
        <v>18420</v>
      </c>
      <c r="F14">
        <f>C8</f>
        <v>0.021630615640598982</v>
      </c>
      <c r="G14">
        <v>4400</v>
      </c>
      <c r="H14">
        <f>C10</f>
        <v>0.042654028436019065</v>
      </c>
    </row>
    <row r="15" spans="1:8" ht="12.75">
      <c r="A15" t="s">
        <v>106</v>
      </c>
      <c r="C15">
        <v>20680</v>
      </c>
      <c r="D15">
        <f>D6</f>
        <v>0.01671583087512296</v>
      </c>
      <c r="E15">
        <v>18030</v>
      </c>
      <c r="F15">
        <f>D8</f>
        <v>0.01806888763410508</v>
      </c>
      <c r="G15">
        <v>4220</v>
      </c>
      <c r="H15">
        <f>D10</f>
        <v>0.03966494210396654</v>
      </c>
    </row>
    <row r="16" spans="1:8" ht="12.75">
      <c r="A16" t="s">
        <v>107</v>
      </c>
      <c r="C16">
        <v>20340</v>
      </c>
      <c r="D16">
        <f>E6</f>
        <v>0.002958579881656709</v>
      </c>
      <c r="E16">
        <v>17710</v>
      </c>
      <c r="F16">
        <f>E8</f>
        <v>0.004537719795802531</v>
      </c>
      <c r="G16">
        <v>4059</v>
      </c>
      <c r="H16">
        <f>E10</f>
        <v>0.030203045685279095</v>
      </c>
    </row>
    <row r="18" spans="1:19" ht="12.75">
      <c r="A18" t="s">
        <v>108</v>
      </c>
      <c r="C18">
        <v>20280</v>
      </c>
      <c r="D18">
        <f aca="true" t="shared" si="3" ref="D18:D28">C18/C19-1</f>
        <v>0.006451612903225712</v>
      </c>
      <c r="E18">
        <v>17630</v>
      </c>
      <c r="F18">
        <f>E18/E19-1</f>
        <v>0.008581235697940448</v>
      </c>
      <c r="G18">
        <v>3940</v>
      </c>
      <c r="H18">
        <f aca="true" t="shared" si="4" ref="H18:H25">G18/G19-1</f>
        <v>0.02604166666666674</v>
      </c>
      <c r="J18">
        <v>1992</v>
      </c>
      <c r="L18" s="1">
        <f>D28</f>
        <v>0.007674144037780328</v>
      </c>
      <c r="M18" s="28"/>
      <c r="O18" s="28"/>
      <c r="Q18" s="28"/>
      <c r="S18" s="9">
        <v>2104582.1500196997</v>
      </c>
    </row>
    <row r="19" spans="1:22" ht="12.75">
      <c r="A19" t="s">
        <v>109</v>
      </c>
      <c r="C19">
        <v>20150</v>
      </c>
      <c r="D19">
        <f t="shared" si="3"/>
        <v>0.012054244098443023</v>
      </c>
      <c r="E19">
        <v>17480</v>
      </c>
      <c r="F19">
        <f>E19/E20-1</f>
        <v>0.01568855316676343</v>
      </c>
      <c r="G19">
        <v>3840</v>
      </c>
      <c r="H19">
        <f t="shared" si="4"/>
        <v>0.032258064516129004</v>
      </c>
      <c r="J19">
        <v>1993</v>
      </c>
      <c r="L19" s="1">
        <f>D27</f>
        <v>-0.008787346221441172</v>
      </c>
      <c r="M19" s="28"/>
      <c r="O19" s="28"/>
      <c r="Q19" s="28"/>
      <c r="S19" s="9">
        <v>2164094.5580999996</v>
      </c>
      <c r="T19" s="1">
        <f aca="true" t="shared" si="5" ref="T19:T28">S19/S18-1</f>
        <v>0.028277541021500596</v>
      </c>
      <c r="V19" s="1">
        <f aca="true" t="shared" si="6" ref="V19:V24">T19-L19</f>
        <v>0.03706488724294177</v>
      </c>
    </row>
    <row r="20" spans="1:22" ht="12.75">
      <c r="A20" t="s">
        <v>110</v>
      </c>
      <c r="C20">
        <v>19910</v>
      </c>
      <c r="D20">
        <f t="shared" si="3"/>
        <v>0.031606217616580334</v>
      </c>
      <c r="E20">
        <v>17210</v>
      </c>
      <c r="F20">
        <f>E20/E21-1</f>
        <v>0.03487672880336734</v>
      </c>
      <c r="G20">
        <v>3720</v>
      </c>
      <c r="H20">
        <f t="shared" si="4"/>
        <v>0.07514450867052025</v>
      </c>
      <c r="J20">
        <v>1994</v>
      </c>
      <c r="L20" s="1">
        <f>D26</f>
        <v>0.024231678486997588</v>
      </c>
      <c r="M20" s="28"/>
      <c r="O20" s="28"/>
      <c r="Q20" s="28"/>
      <c r="S20" s="9">
        <v>2279186.31</v>
      </c>
      <c r="T20" s="1">
        <f t="shared" si="5"/>
        <v>0.053182404377490444</v>
      </c>
      <c r="V20" s="1">
        <f t="shared" si="6"/>
        <v>0.028950725890492857</v>
      </c>
    </row>
    <row r="21" spans="1:22" ht="12.75">
      <c r="A21" t="s">
        <v>111</v>
      </c>
      <c r="C21">
        <v>19300</v>
      </c>
      <c r="D21">
        <f t="shared" si="3"/>
        <v>0.026049973418394545</v>
      </c>
      <c r="E21">
        <v>16630</v>
      </c>
      <c r="F21">
        <f>E21/E22-1</f>
        <v>0.02654320987654324</v>
      </c>
      <c r="G21">
        <v>3460</v>
      </c>
      <c r="H21">
        <f t="shared" si="4"/>
        <v>0.032835820895522394</v>
      </c>
      <c r="J21">
        <v>1995</v>
      </c>
      <c r="L21" s="1">
        <f>D25</f>
        <v>0.020196191575302835</v>
      </c>
      <c r="M21" s="28"/>
      <c r="O21" s="28"/>
      <c r="Q21" s="1">
        <f>H25</f>
        <v>0.053763440860215006</v>
      </c>
      <c r="S21" s="9">
        <v>2372657</v>
      </c>
      <c r="T21" s="1">
        <f t="shared" si="5"/>
        <v>0.04101055257742403</v>
      </c>
      <c r="V21" s="1">
        <f t="shared" si="6"/>
        <v>0.020814361002121196</v>
      </c>
    </row>
    <row r="22" spans="1:22" ht="12.75">
      <c r="A22" t="s">
        <v>112</v>
      </c>
      <c r="C22">
        <v>18810</v>
      </c>
      <c r="D22">
        <f t="shared" si="3"/>
        <v>0.026746724890829743</v>
      </c>
      <c r="E22">
        <v>16200</v>
      </c>
      <c r="G22">
        <v>3350</v>
      </c>
      <c r="H22">
        <f t="shared" si="4"/>
        <v>0.037151702786377694</v>
      </c>
      <c r="J22">
        <v>1996</v>
      </c>
      <c r="L22" s="1">
        <f>D24</f>
        <v>0.013574660633484115</v>
      </c>
      <c r="M22" s="28"/>
      <c r="O22" s="28"/>
      <c r="Q22" s="1">
        <f>H24</f>
        <v>0.04761904761904767</v>
      </c>
      <c r="S22" s="9">
        <v>2460053.201082056</v>
      </c>
      <c r="T22" s="1">
        <f t="shared" si="5"/>
        <v>0.036834738894857555</v>
      </c>
      <c r="V22" s="1">
        <f t="shared" si="6"/>
        <v>0.02326007826137344</v>
      </c>
    </row>
    <row r="23" spans="1:22" ht="12.75">
      <c r="A23" t="s">
        <v>113</v>
      </c>
      <c r="C23">
        <v>18320</v>
      </c>
      <c r="D23">
        <f t="shared" si="3"/>
        <v>0.022321428571428603</v>
      </c>
      <c r="E23" t="s">
        <v>123</v>
      </c>
      <c r="G23">
        <v>3230</v>
      </c>
      <c r="H23">
        <f t="shared" si="4"/>
        <v>0.04870129870129869</v>
      </c>
      <c r="J23">
        <v>1997</v>
      </c>
      <c r="L23" s="1">
        <f>D23</f>
        <v>0.022321428571428603</v>
      </c>
      <c r="M23" s="28"/>
      <c r="O23" s="28"/>
      <c r="Q23" s="1">
        <f>H23</f>
        <v>0.04870129870129869</v>
      </c>
      <c r="S23" s="9">
        <v>2577569.717021164</v>
      </c>
      <c r="T23" s="1">
        <f t="shared" si="5"/>
        <v>0.04776990834483508</v>
      </c>
      <c r="V23" s="1">
        <f t="shared" si="6"/>
        <v>0.025448479773406474</v>
      </c>
    </row>
    <row r="24" spans="1:22" ht="12.75">
      <c r="A24" t="s">
        <v>114</v>
      </c>
      <c r="C24">
        <v>17920</v>
      </c>
      <c r="D24">
        <f t="shared" si="3"/>
        <v>0.013574660633484115</v>
      </c>
      <c r="E24" t="s">
        <v>123</v>
      </c>
      <c r="G24">
        <v>3080</v>
      </c>
      <c r="H24">
        <f t="shared" si="4"/>
        <v>0.04761904761904767</v>
      </c>
      <c r="J24">
        <v>1998</v>
      </c>
      <c r="L24" s="1">
        <f>D22</f>
        <v>0.026746724890829743</v>
      </c>
      <c r="M24" s="28"/>
      <c r="O24" s="28"/>
      <c r="Q24" s="1">
        <f>H22</f>
        <v>0.037151702786377694</v>
      </c>
      <c r="S24" s="9">
        <v>2668803.591600994</v>
      </c>
      <c r="T24" s="1">
        <f t="shared" si="5"/>
        <v>0.03539530821508374</v>
      </c>
      <c r="V24" s="1">
        <f t="shared" si="6"/>
        <v>0.008648583324254</v>
      </c>
    </row>
    <row r="25" spans="1:22" ht="12.75">
      <c r="A25" t="s">
        <v>115</v>
      </c>
      <c r="C25">
        <v>17680</v>
      </c>
      <c r="D25">
        <f t="shared" si="3"/>
        <v>0.020196191575302835</v>
      </c>
      <c r="E25" t="s">
        <v>123</v>
      </c>
      <c r="G25">
        <v>2940</v>
      </c>
      <c r="H25">
        <f t="shared" si="4"/>
        <v>0.053763440860215006</v>
      </c>
      <c r="J25">
        <v>1999</v>
      </c>
      <c r="L25" s="1">
        <f>D21</f>
        <v>0.026049973418394545</v>
      </c>
      <c r="M25" s="28"/>
      <c r="O25" s="28">
        <f>F21</f>
        <v>0.02654320987654324</v>
      </c>
      <c r="Q25" s="1">
        <f>H21</f>
        <v>0.032835820895522394</v>
      </c>
      <c r="S25" s="9">
        <v>2818198.9676663172</v>
      </c>
      <c r="T25" s="1">
        <f t="shared" si="5"/>
        <v>0.05597840790363362</v>
      </c>
      <c r="V25" s="1">
        <f>T25-O25</f>
        <v>0.02943519802709038</v>
      </c>
    </row>
    <row r="26" spans="1:22" ht="12.75">
      <c r="A26" t="s">
        <v>116</v>
      </c>
      <c r="C26">
        <v>17330</v>
      </c>
      <c r="D26">
        <f t="shared" si="3"/>
        <v>0.024231678486997588</v>
      </c>
      <c r="E26" t="s">
        <v>123</v>
      </c>
      <c r="G26">
        <v>2790</v>
      </c>
      <c r="J26">
        <v>2000</v>
      </c>
      <c r="L26" s="1">
        <f>D20</f>
        <v>0.031606217616580334</v>
      </c>
      <c r="M26" s="28"/>
      <c r="O26" s="28">
        <f>F20</f>
        <v>0.03487672880336734</v>
      </c>
      <c r="Q26" s="1">
        <f>H20</f>
        <v>0.07514450867052025</v>
      </c>
      <c r="S26" s="9">
        <v>2928821.050097774</v>
      </c>
      <c r="T26" s="1">
        <f t="shared" si="5"/>
        <v>0.03925275812696083</v>
      </c>
      <c r="V26" s="1">
        <f>T26-O26</f>
        <v>0.004376029323593489</v>
      </c>
    </row>
    <row r="27" spans="1:22" ht="12.75">
      <c r="A27" t="s">
        <v>117</v>
      </c>
      <c r="C27">
        <v>16920</v>
      </c>
      <c r="D27">
        <f t="shared" si="3"/>
        <v>-0.008787346221441172</v>
      </c>
      <c r="E27" t="s">
        <v>123</v>
      </c>
      <c r="G27" t="s">
        <v>123</v>
      </c>
      <c r="J27">
        <v>2001</v>
      </c>
      <c r="L27" s="1">
        <f>D19</f>
        <v>0.012054244098443023</v>
      </c>
      <c r="M27" s="28"/>
      <c r="O27" s="28">
        <f>F19</f>
        <v>0.01568855316676343</v>
      </c>
      <c r="Q27" s="1">
        <f>H19</f>
        <v>0.032258064516129004</v>
      </c>
      <c r="S27" s="9">
        <v>3006181.355828385</v>
      </c>
      <c r="T27" s="1">
        <f t="shared" si="5"/>
        <v>0.026413462757660877</v>
      </c>
      <c r="V27" s="1">
        <f>T27-O27</f>
        <v>0.010724909590897447</v>
      </c>
    </row>
    <row r="28" spans="1:22" ht="12.75">
      <c r="A28" t="s">
        <v>118</v>
      </c>
      <c r="C28">
        <v>17070</v>
      </c>
      <c r="D28">
        <f t="shared" si="3"/>
        <v>0.007674144037780328</v>
      </c>
      <c r="E28" t="s">
        <v>123</v>
      </c>
      <c r="G28" t="s">
        <v>123</v>
      </c>
      <c r="J28">
        <v>2002</v>
      </c>
      <c r="L28" s="1">
        <f>D18</f>
        <v>0.006451612903225712</v>
      </c>
      <c r="M28" s="28">
        <f>L28</f>
        <v>0.006451612903225712</v>
      </c>
      <c r="O28" s="28">
        <f>F18</f>
        <v>0.008581235697940448</v>
      </c>
      <c r="P28" s="28">
        <f>O28</f>
        <v>0.008581235697940448</v>
      </c>
      <c r="Q28" s="1">
        <f>H18</f>
        <v>0.02604166666666674</v>
      </c>
      <c r="R28" s="28">
        <f>Q28</f>
        <v>0.02604166666666674</v>
      </c>
      <c r="S28" s="9">
        <v>3106567.710168912</v>
      </c>
      <c r="T28" s="1">
        <f t="shared" si="5"/>
        <v>0.03339331279727964</v>
      </c>
      <c r="V28" s="1">
        <f>T28-O28</f>
        <v>0.02481207709933919</v>
      </c>
    </row>
    <row r="29" spans="1:18" ht="12.75">
      <c r="A29" t="s">
        <v>119</v>
      </c>
      <c r="C29">
        <v>16940</v>
      </c>
      <c r="E29" t="s">
        <v>123</v>
      </c>
      <c r="G29" t="s">
        <v>123</v>
      </c>
      <c r="J29">
        <v>2003</v>
      </c>
      <c r="M29">
        <f>D16</f>
        <v>0.002958579881656709</v>
      </c>
      <c r="P29">
        <f>F16</f>
        <v>0.004537719795802531</v>
      </c>
      <c r="R29">
        <f>H16</f>
        <v>0.030203045685279095</v>
      </c>
    </row>
    <row r="30" spans="1:22" ht="12.75">
      <c r="A30" t="s">
        <v>120</v>
      </c>
      <c r="C30" t="s">
        <v>123</v>
      </c>
      <c r="E30" t="s">
        <v>123</v>
      </c>
      <c r="G30" t="s">
        <v>123</v>
      </c>
      <c r="J30">
        <v>2004</v>
      </c>
      <c r="M30">
        <f>D15</f>
        <v>0.01671583087512296</v>
      </c>
      <c r="P30">
        <f>F15</f>
        <v>0.01806888763410508</v>
      </c>
      <c r="R30">
        <f>H15</f>
        <v>0.03966494210396654</v>
      </c>
      <c r="T30" t="s">
        <v>168</v>
      </c>
      <c r="V30" s="1">
        <f>AVERAGE(V19:V28)</f>
        <v>0.021353532953551024</v>
      </c>
    </row>
    <row r="31" spans="10:22" ht="12.75">
      <c r="J31">
        <v>2005</v>
      </c>
      <c r="M31">
        <f>D14</f>
        <v>0.020793036750483607</v>
      </c>
      <c r="P31">
        <f>F14</f>
        <v>0.021630615640598982</v>
      </c>
      <c r="R31">
        <f>H14</f>
        <v>0.042654028436019065</v>
      </c>
      <c r="T31" t="s">
        <v>169</v>
      </c>
      <c r="V31">
        <f>STDEV(V19:V28)</f>
        <v>0.01035563213442533</v>
      </c>
    </row>
    <row r="32" ht="12.75">
      <c r="H32">
        <f>AVERAGE(H18:H25)</f>
        <v>0.04418944383947218</v>
      </c>
    </row>
    <row r="33" ht="12.75">
      <c r="S33" s="9"/>
    </row>
    <row r="34" ht="12.75">
      <c r="S34" s="9"/>
    </row>
    <row r="35" ht="12.75">
      <c r="S35" s="9"/>
    </row>
    <row r="36" ht="12.75">
      <c r="S36" s="9"/>
    </row>
    <row r="37" ht="12.75">
      <c r="S37" s="9"/>
    </row>
    <row r="38" ht="12.75">
      <c r="S38" s="9"/>
    </row>
    <row r="39" ht="12.75">
      <c r="S39" s="9"/>
    </row>
    <row r="40" ht="12.75">
      <c r="S40" s="9"/>
    </row>
    <row r="41" ht="12.75">
      <c r="S41" s="9"/>
    </row>
    <row r="42" ht="12.75">
      <c r="S42" s="9"/>
    </row>
    <row r="43" ht="12.75">
      <c r="S43" s="9"/>
    </row>
  </sheetData>
  <printOptions/>
  <pageMargins left="0.75" right="0.75" top="1" bottom="1" header="0.5" footer="0.5"/>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A1"/>
  <sheetViews>
    <sheetView workbookViewId="0" topLeftCell="A1">
      <selection activeCell="K7" sqref="K7"/>
    </sheetView>
  </sheetViews>
  <sheetFormatPr defaultColWidth="9.140625" defaultRowHeight="12.75"/>
  <sheetData/>
  <printOptions/>
  <pageMargins left="0.75" right="0.75" top="1" bottom="1" header="0.5" footer="0.5"/>
  <pageSetup orientation="portrait" paperSize="9"/>
  <drawing r:id="rId1"/>
</worksheet>
</file>

<file path=xl/worksheets/sheet49.xml><?xml version="1.0" encoding="utf-8"?>
<worksheet xmlns="http://schemas.openxmlformats.org/spreadsheetml/2006/main" xmlns:r="http://schemas.openxmlformats.org/officeDocument/2006/relationships">
  <dimension ref="A1:R70"/>
  <sheetViews>
    <sheetView workbookViewId="0" topLeftCell="A1">
      <selection activeCell="A61" sqref="A61"/>
    </sheetView>
  </sheetViews>
  <sheetFormatPr defaultColWidth="9.140625" defaultRowHeight="12.75"/>
  <cols>
    <col min="1" max="1" width="9.140625" style="177" customWidth="1"/>
    <col min="2" max="18" width="9.140625" style="178" customWidth="1"/>
    <col min="19" max="16384" width="9.140625" style="179" customWidth="1"/>
  </cols>
  <sheetData>
    <row r="1" ht="12.75">
      <c r="A1" s="177" t="s">
        <v>144</v>
      </c>
    </row>
    <row r="2" ht="12.75">
      <c r="A2" s="177" t="s">
        <v>127</v>
      </c>
    </row>
    <row r="3" spans="1:18" ht="12.75">
      <c r="A3" s="180"/>
      <c r="B3" s="181" t="s">
        <v>128</v>
      </c>
      <c r="C3" s="181" t="s">
        <v>129</v>
      </c>
      <c r="D3" s="181" t="s">
        <v>130</v>
      </c>
      <c r="E3" s="181" t="s">
        <v>131</v>
      </c>
      <c r="F3" s="181" t="s">
        <v>132</v>
      </c>
      <c r="G3" s="181" t="s">
        <v>145</v>
      </c>
      <c r="H3" s="181" t="s">
        <v>133</v>
      </c>
      <c r="I3" s="181" t="s">
        <v>134</v>
      </c>
      <c r="J3" s="181" t="s">
        <v>399</v>
      </c>
      <c r="K3" s="181" t="s">
        <v>136</v>
      </c>
      <c r="L3" s="181" t="s">
        <v>137</v>
      </c>
      <c r="M3" s="181" t="s">
        <v>138</v>
      </c>
      <c r="N3" s="181" t="s">
        <v>139</v>
      </c>
      <c r="O3" s="181" t="s">
        <v>140</v>
      </c>
      <c r="P3" s="181"/>
      <c r="Q3" s="181" t="s">
        <v>146</v>
      </c>
      <c r="R3" s="181" t="s">
        <v>135</v>
      </c>
    </row>
    <row r="4" spans="1:18" ht="12.75">
      <c r="A4" s="180"/>
      <c r="B4" s="181"/>
      <c r="C4" s="181"/>
      <c r="D4" s="181"/>
      <c r="E4" s="181"/>
      <c r="F4" s="181"/>
      <c r="G4" s="181"/>
      <c r="H4" s="181"/>
      <c r="I4" s="181"/>
      <c r="J4" s="181" t="s">
        <v>400</v>
      </c>
      <c r="K4" s="181" t="s">
        <v>143</v>
      </c>
      <c r="L4" s="181"/>
      <c r="M4" s="181"/>
      <c r="N4" s="181"/>
      <c r="O4" s="181"/>
      <c r="P4" s="181"/>
      <c r="Q4" s="181"/>
      <c r="R4" s="181"/>
    </row>
    <row r="5" spans="1:18" ht="12.75">
      <c r="A5" s="182"/>
      <c r="B5" s="181" t="s">
        <v>147</v>
      </c>
      <c r="C5" s="181" t="s">
        <v>148</v>
      </c>
      <c r="D5" s="181" t="s">
        <v>149</v>
      </c>
      <c r="E5" s="181" t="s">
        <v>150</v>
      </c>
      <c r="F5" s="181" t="s">
        <v>151</v>
      </c>
      <c r="G5" s="181" t="s">
        <v>152</v>
      </c>
      <c r="H5" s="181" t="s">
        <v>153</v>
      </c>
      <c r="I5" s="181" t="s">
        <v>154</v>
      </c>
      <c r="J5" s="181" t="s">
        <v>418</v>
      </c>
      <c r="K5" s="181" t="s">
        <v>156</v>
      </c>
      <c r="L5" s="181" t="s">
        <v>157</v>
      </c>
      <c r="M5" s="181" t="s">
        <v>158</v>
      </c>
      <c r="N5" s="181" t="s">
        <v>159</v>
      </c>
      <c r="O5" s="181" t="s">
        <v>160</v>
      </c>
      <c r="P5" s="181"/>
      <c r="Q5" s="181" t="s">
        <v>161</v>
      </c>
      <c r="R5" s="181" t="s">
        <v>155</v>
      </c>
    </row>
    <row r="6" spans="1:18" ht="12.75">
      <c r="A6" s="183">
        <v>1950</v>
      </c>
      <c r="B6" s="178">
        <v>6935.1</v>
      </c>
      <c r="C6" s="178">
        <v>8639.369</v>
      </c>
      <c r="D6" s="178">
        <v>4271</v>
      </c>
      <c r="E6" s="178">
        <v>4008.9</v>
      </c>
      <c r="F6" s="178">
        <v>41828.673</v>
      </c>
      <c r="G6" s="178">
        <v>7566.028</v>
      </c>
      <c r="H6" s="178">
        <v>2963.018</v>
      </c>
      <c r="I6" s="178">
        <v>47105</v>
      </c>
      <c r="J6" s="178">
        <v>296</v>
      </c>
      <c r="K6" s="178">
        <v>10113.527</v>
      </c>
      <c r="L6" s="178">
        <v>8442.75</v>
      </c>
      <c r="M6" s="178">
        <v>28062.963</v>
      </c>
      <c r="N6" s="178">
        <v>7014.005</v>
      </c>
      <c r="O6" s="178">
        <v>50127</v>
      </c>
      <c r="Q6" s="178">
        <v>152271</v>
      </c>
      <c r="R6" s="178">
        <v>83805</v>
      </c>
    </row>
    <row r="7" spans="1:18" ht="12.75">
      <c r="A7" s="183">
        <v>1951</v>
      </c>
      <c r="B7" s="178">
        <v>6935.451</v>
      </c>
      <c r="C7" s="178">
        <v>8678.386</v>
      </c>
      <c r="D7" s="178">
        <v>4303.62</v>
      </c>
      <c r="E7" s="178">
        <v>4047.3</v>
      </c>
      <c r="F7" s="178">
        <v>42155.534</v>
      </c>
      <c r="G7" s="178">
        <v>7646.402</v>
      </c>
      <c r="H7" s="178">
        <v>2959.311</v>
      </c>
      <c r="I7" s="178">
        <v>47418</v>
      </c>
      <c r="J7" s="178">
        <v>298.16447607218294</v>
      </c>
      <c r="K7" s="178">
        <v>10264.311</v>
      </c>
      <c r="L7" s="178">
        <v>8490.25</v>
      </c>
      <c r="M7" s="178">
        <v>28298.01</v>
      </c>
      <c r="N7" s="178">
        <v>7072.83</v>
      </c>
      <c r="O7" s="178">
        <v>50290</v>
      </c>
      <c r="Q7" s="178">
        <v>154878</v>
      </c>
      <c r="R7" s="178">
        <v>85164</v>
      </c>
    </row>
    <row r="8" spans="1:18" ht="12.75">
      <c r="A8" s="183">
        <v>1952</v>
      </c>
      <c r="B8" s="178">
        <v>6927.772</v>
      </c>
      <c r="C8" s="178">
        <v>8730.405</v>
      </c>
      <c r="D8" s="178">
        <v>4334</v>
      </c>
      <c r="E8" s="178">
        <v>4090.5</v>
      </c>
      <c r="F8" s="178">
        <v>42459.667</v>
      </c>
      <c r="G8" s="178">
        <v>7733.25</v>
      </c>
      <c r="H8" s="178">
        <v>2952.156</v>
      </c>
      <c r="I8" s="178">
        <v>47666</v>
      </c>
      <c r="J8" s="178">
        <v>300.34477970067377</v>
      </c>
      <c r="K8" s="178">
        <v>10381.988</v>
      </c>
      <c r="L8" s="178">
        <v>8526.05</v>
      </c>
      <c r="M8" s="178">
        <v>28549.87</v>
      </c>
      <c r="N8" s="178">
        <v>7124.673</v>
      </c>
      <c r="O8" s="178">
        <v>50430</v>
      </c>
      <c r="Q8" s="178">
        <v>157553</v>
      </c>
      <c r="R8" s="178">
        <v>86459</v>
      </c>
    </row>
    <row r="9" spans="1:18" ht="12.75">
      <c r="A9" s="183">
        <v>1953</v>
      </c>
      <c r="B9" s="178">
        <v>6932.483</v>
      </c>
      <c r="C9" s="178">
        <v>8777.873</v>
      </c>
      <c r="D9" s="178">
        <v>4369.28</v>
      </c>
      <c r="E9" s="178">
        <v>4139.4</v>
      </c>
      <c r="F9" s="178">
        <v>42751.746</v>
      </c>
      <c r="G9" s="178">
        <v>7817.095</v>
      </c>
      <c r="H9" s="178">
        <v>2947.311</v>
      </c>
      <c r="I9" s="178">
        <v>47957</v>
      </c>
      <c r="J9" s="178">
        <v>302.54102662319826</v>
      </c>
      <c r="K9" s="178">
        <v>10493.184</v>
      </c>
      <c r="L9" s="178">
        <v>8578.95</v>
      </c>
      <c r="M9" s="178">
        <v>28804.128</v>
      </c>
      <c r="N9" s="178">
        <v>7171.461</v>
      </c>
      <c r="O9" s="178">
        <v>50593</v>
      </c>
      <c r="Q9" s="178">
        <v>160184</v>
      </c>
      <c r="R9" s="178">
        <v>87655</v>
      </c>
    </row>
    <row r="10" spans="1:18" ht="12.75">
      <c r="A10" s="183">
        <v>1954</v>
      </c>
      <c r="B10" s="178">
        <v>6940.209</v>
      </c>
      <c r="C10" s="178">
        <v>8819.38</v>
      </c>
      <c r="D10" s="178">
        <v>4406</v>
      </c>
      <c r="E10" s="178">
        <v>4186.9</v>
      </c>
      <c r="F10" s="178">
        <v>43056.505</v>
      </c>
      <c r="G10" s="178">
        <v>7893.412</v>
      </c>
      <c r="H10" s="178">
        <v>2936.769</v>
      </c>
      <c r="I10" s="178">
        <v>48299</v>
      </c>
      <c r="J10" s="178">
        <v>304.7533334238052</v>
      </c>
      <c r="K10" s="178">
        <v>10615.38</v>
      </c>
      <c r="L10" s="178">
        <v>8632.1</v>
      </c>
      <c r="M10" s="178">
        <v>29060.413</v>
      </c>
      <c r="N10" s="178">
        <v>7213.49</v>
      </c>
      <c r="O10" s="178">
        <v>50765</v>
      </c>
      <c r="Q10" s="178">
        <v>163026</v>
      </c>
      <c r="R10" s="178">
        <v>88754</v>
      </c>
    </row>
    <row r="11" spans="1:18" ht="12.75">
      <c r="A11" s="183">
        <v>1955</v>
      </c>
      <c r="B11" s="178">
        <v>6946.885</v>
      </c>
      <c r="C11" s="178">
        <v>8868.475</v>
      </c>
      <c r="D11" s="178">
        <v>4439</v>
      </c>
      <c r="E11" s="178">
        <v>4234.9</v>
      </c>
      <c r="F11" s="178">
        <v>43427.669</v>
      </c>
      <c r="G11" s="178">
        <v>7965.538</v>
      </c>
      <c r="H11" s="178">
        <v>2916.133</v>
      </c>
      <c r="I11" s="178">
        <v>48633</v>
      </c>
      <c r="J11" s="178">
        <v>306.9818175390549</v>
      </c>
      <c r="K11" s="178">
        <v>10750.842</v>
      </c>
      <c r="L11" s="178">
        <v>8692.6</v>
      </c>
      <c r="M11" s="178">
        <v>29318.745</v>
      </c>
      <c r="N11" s="178">
        <v>7262.388</v>
      </c>
      <c r="O11" s="178">
        <v>50946</v>
      </c>
      <c r="Q11" s="178">
        <v>165931</v>
      </c>
      <c r="R11" s="178">
        <v>89815</v>
      </c>
    </row>
    <row r="12" spans="1:18" ht="12.75">
      <c r="A12" s="183">
        <v>1956</v>
      </c>
      <c r="B12" s="178">
        <v>6952.359</v>
      </c>
      <c r="C12" s="178">
        <v>8923.845</v>
      </c>
      <c r="D12" s="178">
        <v>4466.471</v>
      </c>
      <c r="E12" s="178">
        <v>4281.7</v>
      </c>
      <c r="F12" s="178">
        <v>43843.075</v>
      </c>
      <c r="G12" s="178">
        <v>8031.013</v>
      </c>
      <c r="H12" s="178">
        <v>2895.253</v>
      </c>
      <c r="I12" s="178">
        <v>48921</v>
      </c>
      <c r="J12" s="178">
        <v>309.22659726425286</v>
      </c>
      <c r="K12" s="178">
        <v>10889.351</v>
      </c>
      <c r="L12" s="178">
        <v>8756</v>
      </c>
      <c r="M12" s="178">
        <v>29579.142</v>
      </c>
      <c r="N12" s="178">
        <v>7314.552</v>
      </c>
      <c r="O12" s="178">
        <v>51184</v>
      </c>
      <c r="Q12" s="178">
        <v>168903</v>
      </c>
      <c r="R12" s="178">
        <v>90766</v>
      </c>
    </row>
    <row r="13" spans="1:18" ht="12.75">
      <c r="A13" s="183">
        <v>1957</v>
      </c>
      <c r="B13" s="178">
        <v>6965.86</v>
      </c>
      <c r="C13" s="178">
        <v>8989.111</v>
      </c>
      <c r="D13" s="178">
        <v>4487.831</v>
      </c>
      <c r="E13" s="178">
        <v>4324</v>
      </c>
      <c r="F13" s="178">
        <v>44310.863</v>
      </c>
      <c r="G13" s="178">
        <v>8096.218</v>
      </c>
      <c r="H13" s="178">
        <v>2878.22</v>
      </c>
      <c r="I13" s="178">
        <v>49182</v>
      </c>
      <c r="J13" s="178">
        <v>311.4877917597296</v>
      </c>
      <c r="K13" s="178">
        <v>11026.383</v>
      </c>
      <c r="L13" s="178">
        <v>8817.65</v>
      </c>
      <c r="M13" s="178">
        <v>29841.614</v>
      </c>
      <c r="N13" s="178">
        <v>7363.802</v>
      </c>
      <c r="O13" s="178">
        <v>51430</v>
      </c>
      <c r="Q13" s="178">
        <v>171984</v>
      </c>
      <c r="R13" s="178">
        <v>91563</v>
      </c>
    </row>
    <row r="14" spans="1:18" ht="12.75">
      <c r="A14" s="183">
        <v>1958</v>
      </c>
      <c r="B14" s="178">
        <v>6987.358</v>
      </c>
      <c r="C14" s="178">
        <v>9052.707</v>
      </c>
      <c r="D14" s="178">
        <v>4515.132</v>
      </c>
      <c r="E14" s="178">
        <v>4359.8</v>
      </c>
      <c r="F14" s="178">
        <v>44788.852</v>
      </c>
      <c r="G14" s="178">
        <v>8173.129</v>
      </c>
      <c r="H14" s="178">
        <v>2851.522</v>
      </c>
      <c r="I14" s="178">
        <v>49476</v>
      </c>
      <c r="J14" s="178">
        <v>313.7655210571658</v>
      </c>
      <c r="K14" s="178">
        <v>11186.875</v>
      </c>
      <c r="L14" s="178">
        <v>8888.55</v>
      </c>
      <c r="M14" s="178">
        <v>30106.188</v>
      </c>
      <c r="N14" s="178">
        <v>7409.144</v>
      </c>
      <c r="O14" s="178">
        <v>51652</v>
      </c>
      <c r="Q14" s="178">
        <v>174882</v>
      </c>
      <c r="R14" s="178">
        <v>92389</v>
      </c>
    </row>
    <row r="15" spans="1:18" ht="12.75">
      <c r="A15" s="183">
        <v>1959</v>
      </c>
      <c r="B15" s="178">
        <v>7014.331</v>
      </c>
      <c r="C15" s="178">
        <v>9103.729</v>
      </c>
      <c r="D15" s="178">
        <v>4546.636</v>
      </c>
      <c r="E15" s="178">
        <v>4394.7</v>
      </c>
      <c r="F15" s="178">
        <v>45239.729</v>
      </c>
      <c r="G15" s="178">
        <v>8258.162</v>
      </c>
      <c r="H15" s="178">
        <v>2843.041</v>
      </c>
      <c r="I15" s="178">
        <v>49832</v>
      </c>
      <c r="J15" s="178">
        <v>316.05990606596424</v>
      </c>
      <c r="K15" s="178">
        <v>11347.639</v>
      </c>
      <c r="L15" s="178">
        <v>8961.55</v>
      </c>
      <c r="M15" s="178">
        <v>30372.877</v>
      </c>
      <c r="N15" s="178">
        <v>7446.249</v>
      </c>
      <c r="O15" s="178">
        <v>51956</v>
      </c>
      <c r="Q15" s="178">
        <v>177830</v>
      </c>
      <c r="R15" s="178">
        <v>93297</v>
      </c>
    </row>
    <row r="16" spans="1:18" ht="12.75">
      <c r="A16" s="183">
        <v>1960</v>
      </c>
      <c r="B16" s="178">
        <v>7047.437</v>
      </c>
      <c r="C16" s="178">
        <v>9118.7</v>
      </c>
      <c r="D16" s="178">
        <v>4581</v>
      </c>
      <c r="E16" s="178">
        <v>4429.6</v>
      </c>
      <c r="F16" s="178">
        <v>45670</v>
      </c>
      <c r="G16" s="178">
        <v>8327.405</v>
      </c>
      <c r="H16" s="178">
        <v>2832</v>
      </c>
      <c r="I16" s="178">
        <v>50197.6</v>
      </c>
      <c r="J16" s="178">
        <v>318.3710685796678</v>
      </c>
      <c r="K16" s="178">
        <v>11486</v>
      </c>
      <c r="L16" s="178">
        <v>9036.7</v>
      </c>
      <c r="M16" s="178">
        <v>30641.187</v>
      </c>
      <c r="N16" s="178">
        <v>7480.395</v>
      </c>
      <c r="O16" s="178">
        <v>52372</v>
      </c>
      <c r="Q16" s="178">
        <v>180671</v>
      </c>
      <c r="R16" s="178">
        <v>94092</v>
      </c>
    </row>
    <row r="17" spans="1:18" ht="12.75">
      <c r="A17" s="183">
        <v>1961</v>
      </c>
      <c r="B17" s="178">
        <v>7086.299</v>
      </c>
      <c r="C17" s="178">
        <v>9165.8</v>
      </c>
      <c r="D17" s="178">
        <v>4609.817</v>
      </c>
      <c r="E17" s="178">
        <v>4461.004</v>
      </c>
      <c r="F17" s="178">
        <v>46189</v>
      </c>
      <c r="G17" s="178">
        <v>8398.05</v>
      </c>
      <c r="H17" s="178">
        <v>2818.3</v>
      </c>
      <c r="I17" s="178">
        <v>50523.2</v>
      </c>
      <c r="J17" s="178">
        <v>320.69913128242484</v>
      </c>
      <c r="K17" s="178">
        <v>11638.713</v>
      </c>
      <c r="L17" s="178">
        <v>9031.2</v>
      </c>
      <c r="M17" s="178">
        <v>30903.894</v>
      </c>
      <c r="N17" s="178">
        <v>7519.998</v>
      </c>
      <c r="O17" s="178">
        <v>52807</v>
      </c>
      <c r="Q17" s="178">
        <v>183691</v>
      </c>
      <c r="R17" s="178">
        <v>94943</v>
      </c>
    </row>
    <row r="18" spans="1:18" ht="12.75">
      <c r="A18" s="183">
        <v>1962</v>
      </c>
      <c r="B18" s="178">
        <v>7129.864</v>
      </c>
      <c r="C18" s="178">
        <v>9218.4</v>
      </c>
      <c r="D18" s="178">
        <v>4646.899</v>
      </c>
      <c r="E18" s="178">
        <v>4491.443</v>
      </c>
      <c r="F18" s="178">
        <v>47124</v>
      </c>
      <c r="G18" s="178">
        <v>8448.233</v>
      </c>
      <c r="H18" s="178">
        <v>2830</v>
      </c>
      <c r="I18" s="178">
        <v>50843.2</v>
      </c>
      <c r="J18" s="178">
        <v>323.04421775550173</v>
      </c>
      <c r="K18" s="178">
        <v>11805.689</v>
      </c>
      <c r="L18" s="178">
        <v>9019.8</v>
      </c>
      <c r="M18" s="178">
        <v>31158.061</v>
      </c>
      <c r="N18" s="178">
        <v>7561.588</v>
      </c>
      <c r="O18" s="178">
        <v>53292</v>
      </c>
      <c r="Q18" s="178">
        <v>186538</v>
      </c>
      <c r="R18" s="178">
        <v>95832</v>
      </c>
    </row>
    <row r="19" spans="1:18" ht="12.75">
      <c r="A19" s="183">
        <v>1963</v>
      </c>
      <c r="B19" s="178">
        <v>7175.811</v>
      </c>
      <c r="C19" s="178">
        <v>9283.1</v>
      </c>
      <c r="D19" s="178">
        <v>4683.579</v>
      </c>
      <c r="E19" s="178">
        <v>4523.309</v>
      </c>
      <c r="F19" s="178">
        <v>47808</v>
      </c>
      <c r="G19" s="178">
        <v>8479.625</v>
      </c>
      <c r="H19" s="178">
        <v>2850</v>
      </c>
      <c r="I19" s="178">
        <v>51198.3</v>
      </c>
      <c r="J19" s="178">
        <v>325.4064524838427</v>
      </c>
      <c r="K19" s="178">
        <v>11965.966</v>
      </c>
      <c r="L19" s="178">
        <v>9081.6</v>
      </c>
      <c r="M19" s="178">
        <v>31429.834</v>
      </c>
      <c r="N19" s="178">
        <v>7604.328</v>
      </c>
      <c r="O19" s="178">
        <v>53625</v>
      </c>
      <c r="Q19" s="178">
        <v>189242</v>
      </c>
      <c r="R19" s="178">
        <v>96812</v>
      </c>
    </row>
    <row r="20" spans="1:18" ht="12.75">
      <c r="A20" s="183">
        <v>1964</v>
      </c>
      <c r="B20" s="178">
        <v>7223.801</v>
      </c>
      <c r="C20" s="178">
        <v>9367</v>
      </c>
      <c r="D20" s="178">
        <v>4720.171</v>
      </c>
      <c r="E20" s="178">
        <v>4548.544</v>
      </c>
      <c r="F20" s="178">
        <v>48340</v>
      </c>
      <c r="G20" s="178">
        <v>8510.429</v>
      </c>
      <c r="H20" s="178">
        <v>2864</v>
      </c>
      <c r="I20" s="178">
        <v>51600.2</v>
      </c>
      <c r="J20" s="178">
        <v>327.78596086267817</v>
      </c>
      <c r="K20" s="178">
        <v>12127.12</v>
      </c>
      <c r="L20" s="178">
        <v>9122.5</v>
      </c>
      <c r="M20" s="178">
        <v>31740.862</v>
      </c>
      <c r="N20" s="178">
        <v>7661.354</v>
      </c>
      <c r="O20" s="178">
        <v>53991</v>
      </c>
      <c r="Q20" s="178">
        <v>191889</v>
      </c>
      <c r="R20" s="178">
        <v>97826</v>
      </c>
    </row>
    <row r="21" spans="1:18" ht="12.75">
      <c r="A21" s="183">
        <v>1965</v>
      </c>
      <c r="B21" s="178">
        <v>7270.889</v>
      </c>
      <c r="C21" s="178">
        <v>9448.1</v>
      </c>
      <c r="D21" s="178">
        <v>4758.1</v>
      </c>
      <c r="E21" s="178">
        <v>4563.732</v>
      </c>
      <c r="F21" s="178">
        <v>48763</v>
      </c>
      <c r="G21" s="178">
        <v>8550.333</v>
      </c>
      <c r="H21" s="178">
        <v>2876</v>
      </c>
      <c r="I21" s="178">
        <v>51987.1</v>
      </c>
      <c r="J21" s="178">
        <v>330.18286920418103</v>
      </c>
      <c r="K21" s="178">
        <v>12292</v>
      </c>
      <c r="L21" s="178">
        <v>9128.85</v>
      </c>
      <c r="M21" s="178">
        <v>32084.511</v>
      </c>
      <c r="N21" s="178">
        <v>7733.853</v>
      </c>
      <c r="O21" s="178">
        <v>54350</v>
      </c>
      <c r="Q21" s="178">
        <v>194303</v>
      </c>
      <c r="R21" s="178">
        <v>98883</v>
      </c>
    </row>
    <row r="22" spans="1:18" ht="12.75">
      <c r="A22" s="183">
        <v>1966</v>
      </c>
      <c r="B22" s="178">
        <v>7322.066</v>
      </c>
      <c r="C22" s="178">
        <v>9507.8</v>
      </c>
      <c r="D22" s="178">
        <v>4797.5</v>
      </c>
      <c r="E22" s="178">
        <v>4580.869</v>
      </c>
      <c r="F22" s="178">
        <v>49194</v>
      </c>
      <c r="G22" s="178">
        <v>8613.651</v>
      </c>
      <c r="H22" s="178">
        <v>2884</v>
      </c>
      <c r="I22" s="178">
        <v>52331.6</v>
      </c>
      <c r="J22" s="178">
        <v>332.59730474417177</v>
      </c>
      <c r="K22" s="178">
        <v>12454.8</v>
      </c>
      <c r="L22" s="178">
        <v>9108.8</v>
      </c>
      <c r="M22" s="178">
        <v>32451.975</v>
      </c>
      <c r="N22" s="178">
        <v>7807.797</v>
      </c>
      <c r="O22" s="178">
        <v>54643</v>
      </c>
      <c r="Q22" s="178">
        <v>196560</v>
      </c>
      <c r="R22" s="178">
        <v>99790</v>
      </c>
    </row>
    <row r="23" spans="1:18" ht="12.75">
      <c r="A23" s="183">
        <v>1967</v>
      </c>
      <c r="B23" s="178">
        <v>7376.998</v>
      </c>
      <c r="C23" s="178">
        <v>9556.5</v>
      </c>
      <c r="D23" s="178">
        <v>4838.8</v>
      </c>
      <c r="E23" s="178">
        <v>4605.744</v>
      </c>
      <c r="F23" s="178">
        <v>49569</v>
      </c>
      <c r="G23" s="178">
        <v>8716.441</v>
      </c>
      <c r="H23" s="178">
        <v>2900.1</v>
      </c>
      <c r="I23" s="178">
        <v>52667.1</v>
      </c>
      <c r="J23" s="178">
        <v>335.0293956488724</v>
      </c>
      <c r="K23" s="178">
        <v>12596.822</v>
      </c>
      <c r="L23" s="178">
        <v>9103</v>
      </c>
      <c r="M23" s="178">
        <v>32850.275</v>
      </c>
      <c r="N23" s="178">
        <v>7867.931</v>
      </c>
      <c r="O23" s="178">
        <v>54959</v>
      </c>
      <c r="Q23" s="178">
        <v>198712</v>
      </c>
      <c r="R23" s="178">
        <v>100825</v>
      </c>
    </row>
    <row r="24" spans="1:18" ht="12.75">
      <c r="A24" s="183">
        <v>1968</v>
      </c>
      <c r="B24" s="178">
        <v>7415.403</v>
      </c>
      <c r="C24" s="178">
        <v>9589.8</v>
      </c>
      <c r="D24" s="178">
        <v>4867.3</v>
      </c>
      <c r="E24" s="178">
        <v>4626.469</v>
      </c>
      <c r="F24" s="178">
        <v>49934</v>
      </c>
      <c r="G24" s="178">
        <v>8740.765</v>
      </c>
      <c r="H24" s="178">
        <v>2912.5</v>
      </c>
      <c r="I24" s="178">
        <v>52986.6</v>
      </c>
      <c r="J24" s="178">
        <v>337.47927102171025</v>
      </c>
      <c r="K24" s="178">
        <v>12724.68</v>
      </c>
      <c r="L24" s="178">
        <v>9115.05</v>
      </c>
      <c r="M24" s="178">
        <v>33239.301</v>
      </c>
      <c r="N24" s="178">
        <v>7912.217</v>
      </c>
      <c r="O24" s="178">
        <v>55214</v>
      </c>
      <c r="Q24" s="178">
        <v>200706</v>
      </c>
      <c r="R24" s="178">
        <v>101961</v>
      </c>
    </row>
    <row r="25" spans="1:18" ht="12.75">
      <c r="A25" s="183">
        <v>1969</v>
      </c>
      <c r="B25" s="178">
        <v>7441.055</v>
      </c>
      <c r="C25" s="178">
        <v>9612.7</v>
      </c>
      <c r="D25" s="178">
        <v>4890.687</v>
      </c>
      <c r="E25" s="178">
        <v>4623.785</v>
      </c>
      <c r="F25" s="178">
        <v>50353</v>
      </c>
      <c r="G25" s="178">
        <v>8772.764</v>
      </c>
      <c r="H25" s="178">
        <v>2925.6</v>
      </c>
      <c r="I25" s="178">
        <v>53317</v>
      </c>
      <c r="J25" s="178">
        <v>339.9470609101708</v>
      </c>
      <c r="K25" s="178">
        <v>12873</v>
      </c>
      <c r="L25" s="178">
        <v>9097.2</v>
      </c>
      <c r="M25" s="178">
        <v>33566.084</v>
      </c>
      <c r="N25" s="178">
        <v>7968.018</v>
      </c>
      <c r="O25" s="178">
        <v>55461</v>
      </c>
      <c r="Q25" s="178">
        <v>202677</v>
      </c>
      <c r="R25" s="178">
        <v>103172</v>
      </c>
    </row>
    <row r="26" spans="1:18" ht="12.75">
      <c r="A26" s="183">
        <v>1970</v>
      </c>
      <c r="B26" s="178">
        <v>7467.086</v>
      </c>
      <c r="C26" s="178">
        <v>9637.8</v>
      </c>
      <c r="D26" s="178">
        <v>4928.757</v>
      </c>
      <c r="E26" s="178">
        <v>4606.307</v>
      </c>
      <c r="F26" s="178">
        <v>50787</v>
      </c>
      <c r="G26" s="178">
        <v>8792.806</v>
      </c>
      <c r="H26" s="178">
        <v>2950.1</v>
      </c>
      <c r="I26" s="178">
        <v>53661.1</v>
      </c>
      <c r="J26" s="178">
        <v>342.4328963127015</v>
      </c>
      <c r="K26" s="178">
        <v>13032.335</v>
      </c>
      <c r="L26" s="178">
        <v>9044.2</v>
      </c>
      <c r="M26" s="178">
        <v>33876.479</v>
      </c>
      <c r="N26" s="178">
        <v>8042.803</v>
      </c>
      <c r="O26" s="178">
        <v>55632</v>
      </c>
      <c r="Q26" s="178">
        <v>205052</v>
      </c>
      <c r="R26" s="178">
        <v>104345</v>
      </c>
    </row>
    <row r="27" spans="1:18" ht="12.75">
      <c r="A27" s="183">
        <v>1971</v>
      </c>
      <c r="B27" s="178">
        <v>7500.482</v>
      </c>
      <c r="C27" s="178">
        <v>9672.5</v>
      </c>
      <c r="D27" s="178">
        <v>4963.126</v>
      </c>
      <c r="E27" s="178">
        <v>4612.124</v>
      </c>
      <c r="F27" s="178">
        <v>51285</v>
      </c>
      <c r="G27" s="178">
        <v>8831.036</v>
      </c>
      <c r="H27" s="178">
        <v>2978.3</v>
      </c>
      <c r="I27" s="178">
        <v>54005.5</v>
      </c>
      <c r="J27" s="178">
        <v>344.9369091856651</v>
      </c>
      <c r="K27" s="178">
        <v>13193.776</v>
      </c>
      <c r="L27" s="178">
        <v>8990.45</v>
      </c>
      <c r="M27" s="178">
        <v>34195.056</v>
      </c>
      <c r="N27" s="178">
        <v>8098.328</v>
      </c>
      <c r="O27" s="178">
        <v>55907</v>
      </c>
      <c r="Q27" s="178">
        <v>207661</v>
      </c>
      <c r="R27" s="178">
        <v>105697</v>
      </c>
    </row>
    <row r="28" spans="1:18" ht="12.75">
      <c r="A28" s="183">
        <v>1972</v>
      </c>
      <c r="B28" s="178">
        <v>7544.201</v>
      </c>
      <c r="C28" s="178">
        <v>9709.1</v>
      </c>
      <c r="D28" s="178">
        <v>4991.596</v>
      </c>
      <c r="E28" s="178">
        <v>4639.657</v>
      </c>
      <c r="F28" s="178">
        <v>51732</v>
      </c>
      <c r="G28" s="178">
        <v>8888.628</v>
      </c>
      <c r="H28" s="178">
        <v>3024.4</v>
      </c>
      <c r="I28" s="178">
        <v>54365.564</v>
      </c>
      <c r="J28" s="178">
        <v>347.45923245034487</v>
      </c>
      <c r="K28" s="178">
        <v>13329.874</v>
      </c>
      <c r="L28" s="178">
        <v>8970.45</v>
      </c>
      <c r="M28" s="178">
        <v>34513.161</v>
      </c>
      <c r="N28" s="178">
        <v>8122.293</v>
      </c>
      <c r="O28" s="178">
        <v>56079</v>
      </c>
      <c r="Q28" s="178">
        <v>209896</v>
      </c>
      <c r="R28" s="178">
        <v>107188</v>
      </c>
    </row>
    <row r="29" spans="1:18" ht="12.75">
      <c r="A29" s="183">
        <v>1973</v>
      </c>
      <c r="B29" s="178">
        <v>7586.115</v>
      </c>
      <c r="C29" s="178">
        <v>9738.4</v>
      </c>
      <c r="D29" s="178">
        <v>5021.861</v>
      </c>
      <c r="E29" s="178">
        <v>4666.081</v>
      </c>
      <c r="F29" s="178">
        <v>52157</v>
      </c>
      <c r="G29" s="178">
        <v>8929.086</v>
      </c>
      <c r="H29" s="178">
        <v>3073.2</v>
      </c>
      <c r="I29" s="178">
        <v>54796.843</v>
      </c>
      <c r="J29" s="178">
        <v>350</v>
      </c>
      <c r="K29" s="178">
        <v>13438.404</v>
      </c>
      <c r="L29" s="178">
        <v>8975.95</v>
      </c>
      <c r="M29" s="178">
        <v>34836.716</v>
      </c>
      <c r="N29" s="178">
        <v>8136.774</v>
      </c>
      <c r="O29" s="178">
        <v>56210</v>
      </c>
      <c r="Q29" s="178">
        <v>211909</v>
      </c>
      <c r="R29" s="178">
        <v>108707</v>
      </c>
    </row>
    <row r="30" spans="1:18" ht="12.75">
      <c r="A30" s="183">
        <v>1974</v>
      </c>
      <c r="B30" s="178">
        <v>7599.038</v>
      </c>
      <c r="C30" s="178">
        <v>9767.8</v>
      </c>
      <c r="D30" s="178">
        <v>5045.297</v>
      </c>
      <c r="E30" s="178">
        <v>4690.574</v>
      </c>
      <c r="F30" s="178">
        <v>52503</v>
      </c>
      <c r="G30" s="178">
        <v>8962.023</v>
      </c>
      <c r="H30" s="178">
        <v>3124.2</v>
      </c>
      <c r="I30" s="178">
        <v>55226.259</v>
      </c>
      <c r="J30" s="178">
        <v>351.6750790614352</v>
      </c>
      <c r="K30" s="178">
        <v>13540.584</v>
      </c>
      <c r="L30" s="178">
        <v>9098.3</v>
      </c>
      <c r="M30" s="178">
        <v>35184.287</v>
      </c>
      <c r="N30" s="178">
        <v>8160.56</v>
      </c>
      <c r="O30" s="178">
        <v>56224</v>
      </c>
      <c r="Q30" s="178">
        <v>213854</v>
      </c>
      <c r="R30" s="178">
        <v>110162</v>
      </c>
    </row>
    <row r="31" spans="1:18" ht="12.75">
      <c r="A31" s="183">
        <v>1975</v>
      </c>
      <c r="B31" s="178">
        <v>7578.903</v>
      </c>
      <c r="C31" s="178">
        <v>9794.8</v>
      </c>
      <c r="D31" s="178">
        <v>5059.861</v>
      </c>
      <c r="E31" s="178">
        <v>4711.439</v>
      </c>
      <c r="F31" s="178">
        <v>52758.427</v>
      </c>
      <c r="G31" s="178">
        <v>9046.542</v>
      </c>
      <c r="H31" s="178">
        <v>3177.3</v>
      </c>
      <c r="I31" s="178">
        <v>55571.894</v>
      </c>
      <c r="J31" s="178">
        <v>353.4895768356304</v>
      </c>
      <c r="K31" s="178">
        <v>13653.438</v>
      </c>
      <c r="L31" s="178">
        <v>9411.09</v>
      </c>
      <c r="M31" s="178">
        <v>35563.535</v>
      </c>
      <c r="N31" s="178">
        <v>8192.566</v>
      </c>
      <c r="O31" s="178">
        <v>56215</v>
      </c>
      <c r="Q31" s="178">
        <v>215973</v>
      </c>
      <c r="R31" s="178">
        <v>111573</v>
      </c>
    </row>
    <row r="32" spans="1:18" ht="12.75">
      <c r="A32" s="183">
        <v>1976</v>
      </c>
      <c r="B32" s="178">
        <v>7565.525</v>
      </c>
      <c r="C32" s="178">
        <v>9811</v>
      </c>
      <c r="D32" s="178">
        <v>5072.596</v>
      </c>
      <c r="E32" s="178">
        <v>4725.664</v>
      </c>
      <c r="F32" s="178">
        <v>52953.613</v>
      </c>
      <c r="G32" s="178">
        <v>9167.19</v>
      </c>
      <c r="H32" s="178">
        <v>3227.8</v>
      </c>
      <c r="I32" s="178">
        <v>55838.536</v>
      </c>
      <c r="J32" s="178">
        <v>355.31343666693044</v>
      </c>
      <c r="K32" s="178">
        <v>13769.913</v>
      </c>
      <c r="L32" s="178">
        <v>9621.97</v>
      </c>
      <c r="M32" s="178">
        <v>35996.78</v>
      </c>
      <c r="N32" s="178">
        <v>8222.31</v>
      </c>
      <c r="O32" s="178">
        <v>56206</v>
      </c>
      <c r="Q32" s="178">
        <v>218035</v>
      </c>
      <c r="R32" s="178">
        <v>112775</v>
      </c>
    </row>
    <row r="33" spans="1:18" ht="12.75">
      <c r="A33" s="183">
        <v>1977</v>
      </c>
      <c r="B33" s="178">
        <v>7568.43</v>
      </c>
      <c r="C33" s="178">
        <v>9821.8</v>
      </c>
      <c r="D33" s="178">
        <v>5088.419</v>
      </c>
      <c r="E33" s="178">
        <v>4738.902</v>
      </c>
      <c r="F33" s="178">
        <v>53165.019</v>
      </c>
      <c r="G33" s="178">
        <v>9308.479</v>
      </c>
      <c r="H33" s="178">
        <v>3271.9</v>
      </c>
      <c r="I33" s="178">
        <v>56059.245</v>
      </c>
      <c r="J33" s="178">
        <v>357.1467068596732</v>
      </c>
      <c r="K33" s="178">
        <v>13852.989</v>
      </c>
      <c r="L33" s="178">
        <v>9662.6</v>
      </c>
      <c r="M33" s="178">
        <v>36439</v>
      </c>
      <c r="N33" s="178">
        <v>8251.648</v>
      </c>
      <c r="O33" s="178">
        <v>56179</v>
      </c>
      <c r="Q33" s="178">
        <v>220239</v>
      </c>
      <c r="R33" s="178">
        <v>113872</v>
      </c>
    </row>
    <row r="34" spans="1:18" ht="12.75">
      <c r="A34" s="183">
        <v>1978</v>
      </c>
      <c r="B34" s="178">
        <v>7562.305</v>
      </c>
      <c r="C34" s="178">
        <v>9829.7</v>
      </c>
      <c r="D34" s="178">
        <v>5104.247</v>
      </c>
      <c r="E34" s="178">
        <v>4752.528</v>
      </c>
      <c r="F34" s="178">
        <v>53380.649</v>
      </c>
      <c r="G34" s="178">
        <v>9429.959</v>
      </c>
      <c r="H34" s="178">
        <v>3314</v>
      </c>
      <c r="I34" s="178">
        <v>56240.143</v>
      </c>
      <c r="J34" s="178">
        <v>358.9894359674267</v>
      </c>
      <c r="K34" s="178">
        <v>13936.754</v>
      </c>
      <c r="L34" s="178">
        <v>9698.78</v>
      </c>
      <c r="M34" s="178">
        <v>36861.034</v>
      </c>
      <c r="N34" s="178">
        <v>8275.778</v>
      </c>
      <c r="O34" s="178">
        <v>56167</v>
      </c>
      <c r="Q34" s="178">
        <v>222585</v>
      </c>
      <c r="R34" s="178">
        <v>114913</v>
      </c>
    </row>
    <row r="35" spans="1:18" ht="12.75">
      <c r="A35" s="183">
        <v>1979</v>
      </c>
      <c r="B35" s="178">
        <v>7549.425</v>
      </c>
      <c r="C35" s="178">
        <v>9837.2</v>
      </c>
      <c r="D35" s="178">
        <v>5116.8</v>
      </c>
      <c r="E35" s="178">
        <v>4764.69</v>
      </c>
      <c r="F35" s="178">
        <v>53605.523</v>
      </c>
      <c r="G35" s="178">
        <v>9548.258</v>
      </c>
      <c r="H35" s="178">
        <v>3368.2</v>
      </c>
      <c r="I35" s="178">
        <v>56367.71</v>
      </c>
      <c r="J35" s="178">
        <v>360.84167279427527</v>
      </c>
      <c r="K35" s="178">
        <v>14030.002</v>
      </c>
      <c r="L35" s="178">
        <v>9724.56</v>
      </c>
      <c r="M35" s="178">
        <v>37200.014</v>
      </c>
      <c r="N35" s="178">
        <v>8293.723</v>
      </c>
      <c r="O35" s="178">
        <v>56228</v>
      </c>
      <c r="Q35" s="178">
        <v>225055</v>
      </c>
      <c r="R35" s="178">
        <v>115890</v>
      </c>
    </row>
    <row r="36" spans="1:18" ht="12.75">
      <c r="A36" s="183">
        <v>1980</v>
      </c>
      <c r="B36" s="178">
        <v>7549.433</v>
      </c>
      <c r="C36" s="178">
        <v>9846.8</v>
      </c>
      <c r="D36" s="178">
        <v>5123.027</v>
      </c>
      <c r="E36" s="178">
        <v>4779.535</v>
      </c>
      <c r="F36" s="178">
        <v>53869.743</v>
      </c>
      <c r="G36" s="178">
        <v>9642.505</v>
      </c>
      <c r="H36" s="178">
        <v>3401</v>
      </c>
      <c r="I36" s="178">
        <v>56451.247</v>
      </c>
      <c r="J36" s="178">
        <v>362.70346639611216</v>
      </c>
      <c r="K36" s="178">
        <v>14143.901</v>
      </c>
      <c r="L36" s="178">
        <v>9777.8</v>
      </c>
      <c r="M36" s="178">
        <v>37488.36</v>
      </c>
      <c r="N36" s="178">
        <v>8310.473</v>
      </c>
      <c r="O36" s="178">
        <v>56314</v>
      </c>
      <c r="Q36" s="178">
        <v>227726.463</v>
      </c>
      <c r="R36" s="178">
        <v>116807</v>
      </c>
    </row>
    <row r="37" spans="1:18" ht="12.75">
      <c r="A37" s="183">
        <v>1981</v>
      </c>
      <c r="B37" s="178">
        <v>7564.629</v>
      </c>
      <c r="C37" s="178">
        <v>9852.4</v>
      </c>
      <c r="D37" s="178">
        <v>5121.572</v>
      </c>
      <c r="E37" s="178">
        <v>4799.964</v>
      </c>
      <c r="F37" s="178">
        <v>54147.284</v>
      </c>
      <c r="G37" s="178">
        <v>9729.35</v>
      </c>
      <c r="H37" s="178">
        <v>3443.4</v>
      </c>
      <c r="I37" s="178">
        <v>56502.489</v>
      </c>
      <c r="J37" s="178">
        <v>364.57486608193875</v>
      </c>
      <c r="K37" s="178">
        <v>14246.049</v>
      </c>
      <c r="L37" s="178">
        <v>9850.079</v>
      </c>
      <c r="M37" s="178">
        <v>37750.8</v>
      </c>
      <c r="N37" s="178">
        <v>8320.485</v>
      </c>
      <c r="O37" s="178">
        <v>56382.597</v>
      </c>
      <c r="Q37" s="178">
        <v>229966.237</v>
      </c>
      <c r="R37" s="178">
        <v>117648</v>
      </c>
    </row>
    <row r="38" spans="1:18" ht="12.75">
      <c r="A38" s="183">
        <v>1982</v>
      </c>
      <c r="B38" s="178">
        <v>7574.085</v>
      </c>
      <c r="C38" s="178">
        <v>9856.303</v>
      </c>
      <c r="D38" s="178">
        <v>5117.81</v>
      </c>
      <c r="E38" s="178">
        <v>4826.933</v>
      </c>
      <c r="F38" s="178">
        <v>54433.565</v>
      </c>
      <c r="G38" s="178">
        <v>9789.513</v>
      </c>
      <c r="H38" s="178">
        <v>3480</v>
      </c>
      <c r="I38" s="178">
        <v>56535.636</v>
      </c>
      <c r="J38" s="178">
        <v>366.4559214151704</v>
      </c>
      <c r="K38" s="178">
        <v>14310.401</v>
      </c>
      <c r="L38" s="178">
        <v>9859.65</v>
      </c>
      <c r="M38" s="178">
        <v>37983.31</v>
      </c>
      <c r="N38" s="178">
        <v>8325.26</v>
      </c>
      <c r="O38" s="178">
        <v>56339.704</v>
      </c>
      <c r="Q38" s="178">
        <v>232187.835</v>
      </c>
      <c r="R38" s="178">
        <v>118455</v>
      </c>
    </row>
    <row r="39" spans="1:18" ht="12.75">
      <c r="A39" s="183">
        <v>1983</v>
      </c>
      <c r="B39" s="178">
        <v>7551.842</v>
      </c>
      <c r="C39" s="178">
        <v>9855.52</v>
      </c>
      <c r="D39" s="178">
        <v>5114.297</v>
      </c>
      <c r="E39" s="178">
        <v>4855.787</v>
      </c>
      <c r="F39" s="178">
        <v>54649.81</v>
      </c>
      <c r="G39" s="178">
        <v>9846.627</v>
      </c>
      <c r="H39" s="178">
        <v>3504</v>
      </c>
      <c r="I39" s="178">
        <v>56630.129</v>
      </c>
      <c r="J39" s="178">
        <v>368.34668221494917</v>
      </c>
      <c r="K39" s="178">
        <v>14362.381</v>
      </c>
      <c r="L39" s="178">
        <v>9872.243</v>
      </c>
      <c r="M39" s="178">
        <v>38184.166</v>
      </c>
      <c r="N39" s="178">
        <v>8329.028</v>
      </c>
      <c r="O39" s="178">
        <v>56382.623</v>
      </c>
      <c r="Q39" s="178">
        <v>234307.207</v>
      </c>
      <c r="R39" s="178">
        <v>119270</v>
      </c>
    </row>
    <row r="40" spans="1:18" ht="12.75">
      <c r="A40" s="183">
        <v>1984</v>
      </c>
      <c r="B40" s="178">
        <v>7552.551</v>
      </c>
      <c r="C40" s="178">
        <v>9855.3</v>
      </c>
      <c r="D40" s="178">
        <v>5111.619</v>
      </c>
      <c r="E40" s="178">
        <v>4881.788</v>
      </c>
      <c r="F40" s="178">
        <v>54946.5</v>
      </c>
      <c r="G40" s="178">
        <v>9896.365</v>
      </c>
      <c r="H40" s="178">
        <v>3529</v>
      </c>
      <c r="I40" s="178">
        <v>56696.963</v>
      </c>
      <c r="J40" s="178">
        <v>370.24719855746326</v>
      </c>
      <c r="K40" s="178">
        <v>14420.022</v>
      </c>
      <c r="L40" s="178">
        <v>9885.387</v>
      </c>
      <c r="M40" s="178">
        <v>38362.861</v>
      </c>
      <c r="N40" s="178">
        <v>8342.621</v>
      </c>
      <c r="O40" s="178">
        <v>56462.228</v>
      </c>
      <c r="Q40" s="178">
        <v>236348.292</v>
      </c>
      <c r="R40" s="178">
        <v>120035</v>
      </c>
    </row>
    <row r="41" spans="1:18" ht="12.75">
      <c r="A41" s="183">
        <v>1985</v>
      </c>
      <c r="B41" s="178">
        <v>7557.667</v>
      </c>
      <c r="C41" s="178">
        <v>9858.2</v>
      </c>
      <c r="D41" s="178">
        <v>5113.691</v>
      </c>
      <c r="E41" s="178">
        <v>4901.783</v>
      </c>
      <c r="F41" s="178">
        <v>55171.224</v>
      </c>
      <c r="G41" s="178">
        <v>9935.561</v>
      </c>
      <c r="H41" s="178">
        <v>3540</v>
      </c>
      <c r="I41" s="178">
        <v>56731.215</v>
      </c>
      <c r="J41" s="178">
        <v>372.1575207772733</v>
      </c>
      <c r="K41" s="178">
        <v>14491.38</v>
      </c>
      <c r="L41" s="178">
        <v>9897.192</v>
      </c>
      <c r="M41" s="178">
        <v>38534.853</v>
      </c>
      <c r="N41" s="178">
        <v>8356.337</v>
      </c>
      <c r="O41" s="178">
        <v>56620.24</v>
      </c>
      <c r="Q41" s="178">
        <v>238466.283</v>
      </c>
      <c r="R41" s="178">
        <v>120754</v>
      </c>
    </row>
    <row r="42" spans="1:18" ht="12.75">
      <c r="A42" s="183">
        <v>1986</v>
      </c>
      <c r="B42" s="178">
        <v>7565.603</v>
      </c>
      <c r="C42" s="178">
        <v>9861.8</v>
      </c>
      <c r="D42" s="178">
        <v>5120.534</v>
      </c>
      <c r="E42" s="178">
        <v>4917.386</v>
      </c>
      <c r="F42" s="178">
        <v>55387.361</v>
      </c>
      <c r="G42" s="178">
        <v>9966.801</v>
      </c>
      <c r="H42" s="178">
        <v>3540.5</v>
      </c>
      <c r="I42" s="178">
        <v>56733.833</v>
      </c>
      <c r="J42" s="178">
        <v>374.07769946864533</v>
      </c>
      <c r="K42" s="178">
        <v>14571.875</v>
      </c>
      <c r="L42" s="178">
        <v>9907.411</v>
      </c>
      <c r="M42" s="178">
        <v>38707.556</v>
      </c>
      <c r="N42" s="178">
        <v>8375.87</v>
      </c>
      <c r="O42" s="178">
        <v>56796.26</v>
      </c>
      <c r="Q42" s="178">
        <v>240650.755</v>
      </c>
      <c r="R42" s="178">
        <v>121492</v>
      </c>
    </row>
    <row r="43" spans="1:18" ht="12.75">
      <c r="A43" s="183">
        <v>1987</v>
      </c>
      <c r="B43" s="178">
        <v>7575.732</v>
      </c>
      <c r="C43" s="178">
        <v>9870.2</v>
      </c>
      <c r="D43" s="178">
        <v>5127.024</v>
      </c>
      <c r="E43" s="178">
        <v>4931.729</v>
      </c>
      <c r="F43" s="178">
        <v>55630.1</v>
      </c>
      <c r="G43" s="178">
        <v>9993.053</v>
      </c>
      <c r="H43" s="178">
        <v>3539.9</v>
      </c>
      <c r="I43" s="178">
        <v>56729.703</v>
      </c>
      <c r="J43" s="178">
        <v>376.00778548689095</v>
      </c>
      <c r="K43" s="178">
        <v>14665.278</v>
      </c>
      <c r="L43" s="178">
        <v>9915.289</v>
      </c>
      <c r="M43" s="178">
        <v>38880.702</v>
      </c>
      <c r="N43" s="178">
        <v>8404.94</v>
      </c>
      <c r="O43" s="178">
        <v>56981.62</v>
      </c>
      <c r="Q43" s="178">
        <v>242803.533</v>
      </c>
      <c r="R43" s="178">
        <v>122091</v>
      </c>
    </row>
    <row r="44" spans="1:18" ht="12.75">
      <c r="A44" s="183">
        <v>1988</v>
      </c>
      <c r="B44" s="178">
        <v>7596.081</v>
      </c>
      <c r="C44" s="178">
        <v>9884</v>
      </c>
      <c r="D44" s="178">
        <v>5129.516</v>
      </c>
      <c r="E44" s="178">
        <v>4946.633</v>
      </c>
      <c r="F44" s="178">
        <v>55873.463</v>
      </c>
      <c r="G44" s="178">
        <v>10004.401</v>
      </c>
      <c r="H44" s="178">
        <v>3529.6</v>
      </c>
      <c r="I44" s="178">
        <v>56734.027</v>
      </c>
      <c r="J44" s="178">
        <v>377.94782994971405</v>
      </c>
      <c r="K44" s="178">
        <v>14761.339</v>
      </c>
      <c r="L44" s="178">
        <v>9920.611</v>
      </c>
      <c r="M44" s="178">
        <v>39053.881</v>
      </c>
      <c r="N44" s="178">
        <v>8444.516</v>
      </c>
      <c r="O44" s="178">
        <v>57159.603</v>
      </c>
      <c r="Q44" s="178">
        <v>245021.414</v>
      </c>
      <c r="R44" s="178">
        <v>122613</v>
      </c>
    </row>
    <row r="45" spans="1:18" ht="12.75">
      <c r="A45" s="183">
        <v>1989</v>
      </c>
      <c r="B45" s="178">
        <v>7623.605</v>
      </c>
      <c r="C45" s="178">
        <v>9937.697</v>
      </c>
      <c r="D45" s="178">
        <v>5132.593</v>
      </c>
      <c r="E45" s="178">
        <v>4962.441</v>
      </c>
      <c r="F45" s="178">
        <v>56416.625</v>
      </c>
      <c r="G45" s="178">
        <v>10055.663</v>
      </c>
      <c r="H45" s="178">
        <v>3513.2</v>
      </c>
      <c r="I45" s="178">
        <v>56737.529</v>
      </c>
      <c r="J45" s="178">
        <v>379.8978842385647</v>
      </c>
      <c r="K45" s="178">
        <v>14848.907</v>
      </c>
      <c r="L45" s="178">
        <v>9923.147</v>
      </c>
      <c r="M45" s="178">
        <v>39214.523</v>
      </c>
      <c r="N45" s="178">
        <v>8492.972</v>
      </c>
      <c r="O45" s="178">
        <v>57324.472</v>
      </c>
      <c r="Q45" s="178">
        <v>247341.697</v>
      </c>
      <c r="R45" s="178">
        <v>123108</v>
      </c>
    </row>
    <row r="46" spans="1:18" ht="12.75">
      <c r="A46" s="183">
        <v>1990</v>
      </c>
      <c r="B46" s="178">
        <v>7718.106</v>
      </c>
      <c r="C46" s="178">
        <v>9969.31</v>
      </c>
      <c r="D46" s="178">
        <v>5140.954</v>
      </c>
      <c r="E46" s="178">
        <v>4986.431</v>
      </c>
      <c r="F46" s="178">
        <v>56735.161</v>
      </c>
      <c r="G46" s="178">
        <v>10157.893</v>
      </c>
      <c r="H46" s="178">
        <v>3508.2</v>
      </c>
      <c r="I46" s="178">
        <v>56742.886</v>
      </c>
      <c r="J46" s="178">
        <v>381.858</v>
      </c>
      <c r="K46" s="178">
        <v>14951.51</v>
      </c>
      <c r="L46" s="178">
        <v>9922.689</v>
      </c>
      <c r="M46" s="178">
        <v>39350.769</v>
      </c>
      <c r="N46" s="178">
        <v>8558.842</v>
      </c>
      <c r="O46" s="178">
        <v>57493.307</v>
      </c>
      <c r="Q46" s="178">
        <v>250131.894</v>
      </c>
      <c r="R46" s="178">
        <v>123537</v>
      </c>
    </row>
    <row r="47" spans="1:18" ht="12.75">
      <c r="A47" s="183">
        <v>1991</v>
      </c>
      <c r="B47" s="178">
        <v>7812.971</v>
      </c>
      <c r="C47" s="178">
        <v>10004.494</v>
      </c>
      <c r="D47" s="178">
        <v>5154.345</v>
      </c>
      <c r="E47" s="178">
        <v>5013.74</v>
      </c>
      <c r="F47" s="178">
        <v>57055.448</v>
      </c>
      <c r="G47" s="178">
        <v>10282.695</v>
      </c>
      <c r="H47" s="178">
        <v>3530.771</v>
      </c>
      <c r="I47" s="178">
        <v>56747.462</v>
      </c>
      <c r="J47" s="178">
        <v>385.908</v>
      </c>
      <c r="K47" s="178">
        <v>15066.22</v>
      </c>
      <c r="L47" s="178">
        <v>9918.984</v>
      </c>
      <c r="M47" s="178">
        <v>39461.418</v>
      </c>
      <c r="N47" s="178">
        <v>8617.375</v>
      </c>
      <c r="O47" s="178">
        <v>57665.646</v>
      </c>
      <c r="Q47" s="178">
        <v>253492.503</v>
      </c>
      <c r="R47" s="178">
        <v>123946</v>
      </c>
    </row>
    <row r="48" spans="1:18" ht="12.75">
      <c r="A48" s="183">
        <v>1992</v>
      </c>
      <c r="B48" s="178">
        <v>7909.501</v>
      </c>
      <c r="C48" s="178">
        <v>10045.166</v>
      </c>
      <c r="D48" s="178">
        <v>5171.385</v>
      </c>
      <c r="E48" s="178">
        <v>5041.033</v>
      </c>
      <c r="F48" s="178">
        <v>57374.179</v>
      </c>
      <c r="G48" s="178">
        <v>10357.243</v>
      </c>
      <c r="H48" s="178">
        <v>3557.098</v>
      </c>
      <c r="I48" s="178">
        <v>56840.847</v>
      </c>
      <c r="J48" s="178">
        <v>391.354</v>
      </c>
      <c r="K48" s="178">
        <v>15174.244</v>
      </c>
      <c r="L48" s="178">
        <v>9914.824</v>
      </c>
      <c r="M48" s="178">
        <v>39549.438</v>
      </c>
      <c r="N48" s="178">
        <v>8675.63</v>
      </c>
      <c r="O48" s="178">
        <v>57866.349</v>
      </c>
      <c r="Q48" s="178">
        <v>256894.189</v>
      </c>
      <c r="R48" s="178">
        <v>124329</v>
      </c>
    </row>
    <row r="49" spans="1:18" ht="12.75">
      <c r="A49" s="183">
        <v>1993</v>
      </c>
      <c r="B49" s="178">
        <v>7983.117</v>
      </c>
      <c r="C49" s="178">
        <v>10084.483</v>
      </c>
      <c r="D49" s="178">
        <v>5188.377</v>
      </c>
      <c r="E49" s="178">
        <v>5065.124</v>
      </c>
      <c r="F49" s="178">
        <v>57658.289</v>
      </c>
      <c r="G49" s="178">
        <v>10414.809</v>
      </c>
      <c r="H49" s="178">
        <v>3577.016</v>
      </c>
      <c r="I49" s="178">
        <v>57026.746</v>
      </c>
      <c r="J49" s="178">
        <v>397.233</v>
      </c>
      <c r="K49" s="178">
        <v>15274.942</v>
      </c>
      <c r="L49" s="178">
        <v>9930.759</v>
      </c>
      <c r="M49" s="178">
        <v>39627.587</v>
      </c>
      <c r="N49" s="178">
        <v>8722.498</v>
      </c>
      <c r="O49" s="178">
        <v>58026.92</v>
      </c>
      <c r="Q49" s="178">
        <v>260255.352</v>
      </c>
      <c r="R49" s="178">
        <v>124668</v>
      </c>
    </row>
    <row r="50" spans="1:18" ht="12.75">
      <c r="A50" s="183">
        <v>1994</v>
      </c>
      <c r="B50" s="178">
        <v>8022.047</v>
      </c>
      <c r="C50" s="178">
        <v>10115.61</v>
      </c>
      <c r="D50" s="178">
        <v>5205.594</v>
      </c>
      <c r="E50" s="178">
        <v>5086.79</v>
      </c>
      <c r="F50" s="178">
        <v>57906.847</v>
      </c>
      <c r="G50" s="178">
        <v>10461.64</v>
      </c>
      <c r="H50" s="178">
        <v>3593.533</v>
      </c>
      <c r="I50" s="178">
        <v>57179.46</v>
      </c>
      <c r="J50" s="178">
        <v>403.478</v>
      </c>
      <c r="K50" s="178">
        <v>15382.198</v>
      </c>
      <c r="L50" s="178">
        <v>9954.549</v>
      </c>
      <c r="M50" s="178">
        <v>39690.971</v>
      </c>
      <c r="N50" s="178">
        <v>8769.009</v>
      </c>
      <c r="O50" s="178">
        <v>58212.518</v>
      </c>
      <c r="Q50" s="178">
        <v>263435.673</v>
      </c>
      <c r="R50" s="178">
        <v>125014</v>
      </c>
    </row>
    <row r="51" spans="1:18" ht="12.75">
      <c r="A51" s="184">
        <v>1995</v>
      </c>
      <c r="B51" s="178">
        <v>8041.935</v>
      </c>
      <c r="C51" s="178">
        <v>10136.818</v>
      </c>
      <c r="D51" s="178">
        <v>5232.604</v>
      </c>
      <c r="E51" s="178">
        <v>5105.762</v>
      </c>
      <c r="F51" s="178">
        <v>58149.727</v>
      </c>
      <c r="G51" s="178">
        <v>10489.368</v>
      </c>
      <c r="H51" s="178">
        <v>3611.198</v>
      </c>
      <c r="I51" s="178">
        <v>57274.531</v>
      </c>
      <c r="J51" s="178">
        <v>409.848</v>
      </c>
      <c r="K51" s="178">
        <v>15459.006</v>
      </c>
      <c r="L51" s="178">
        <v>9968.849</v>
      </c>
      <c r="M51" s="178">
        <v>39749.715</v>
      </c>
      <c r="N51" s="178">
        <v>8825.417</v>
      </c>
      <c r="O51" s="178">
        <v>58426.014</v>
      </c>
      <c r="Q51" s="178">
        <v>266557.091</v>
      </c>
      <c r="R51" s="178">
        <v>125341</v>
      </c>
    </row>
    <row r="52" spans="1:18" ht="12.75">
      <c r="A52" s="184">
        <v>1996</v>
      </c>
      <c r="B52" s="178">
        <v>8055.908</v>
      </c>
      <c r="C52" s="178">
        <v>10156.645</v>
      </c>
      <c r="D52" s="178">
        <v>5262.068</v>
      </c>
      <c r="E52" s="178">
        <v>5121.511</v>
      </c>
      <c r="F52" s="178">
        <v>58388.408</v>
      </c>
      <c r="G52" s="178">
        <v>10511.232</v>
      </c>
      <c r="H52" s="178">
        <v>3632.794</v>
      </c>
      <c r="I52" s="178">
        <v>57367.032</v>
      </c>
      <c r="J52" s="178">
        <v>415.8</v>
      </c>
      <c r="K52" s="178">
        <v>15532.953</v>
      </c>
      <c r="L52" s="178">
        <v>9979.834</v>
      </c>
      <c r="M52" s="178">
        <v>39803.829</v>
      </c>
      <c r="N52" s="178">
        <v>8859.207</v>
      </c>
      <c r="O52" s="178">
        <v>58618.663</v>
      </c>
      <c r="Q52" s="178">
        <v>269667.391</v>
      </c>
      <c r="R52" s="178">
        <v>125645</v>
      </c>
    </row>
    <row r="53" spans="1:18" ht="12.75">
      <c r="A53" s="184">
        <v>1997</v>
      </c>
      <c r="B53" s="178">
        <v>8072.113</v>
      </c>
      <c r="C53" s="178">
        <v>10181.253</v>
      </c>
      <c r="D53" s="178">
        <v>5283.643</v>
      </c>
      <c r="E53" s="178">
        <v>5135.55</v>
      </c>
      <c r="F53" s="178">
        <v>58623.428</v>
      </c>
      <c r="G53" s="178">
        <v>10533.191</v>
      </c>
      <c r="H53" s="178">
        <v>3669.21</v>
      </c>
      <c r="I53" s="178">
        <v>57479.469</v>
      </c>
      <c r="J53" s="178">
        <v>421.137</v>
      </c>
      <c r="K53" s="178">
        <v>15613.005</v>
      </c>
      <c r="L53" s="178">
        <v>9994.921</v>
      </c>
      <c r="M53" s="178">
        <v>39855.442</v>
      </c>
      <c r="N53" s="178">
        <v>8864.519</v>
      </c>
      <c r="O53" s="178">
        <v>58808.266</v>
      </c>
      <c r="Q53" s="178">
        <v>272911.76</v>
      </c>
      <c r="R53" s="178">
        <v>125956</v>
      </c>
    </row>
    <row r="54" spans="1:18" ht="12.75">
      <c r="A54" s="184">
        <v>1998</v>
      </c>
      <c r="B54" s="178">
        <v>8091.582</v>
      </c>
      <c r="C54" s="178">
        <v>10202.662</v>
      </c>
      <c r="D54" s="178">
        <v>5302.166</v>
      </c>
      <c r="E54" s="178">
        <v>5148.038</v>
      </c>
      <c r="F54" s="178">
        <v>58866.29</v>
      </c>
      <c r="G54" s="178">
        <v>10555.768</v>
      </c>
      <c r="H54" s="178">
        <v>3710.734</v>
      </c>
      <c r="I54" s="178">
        <v>57550.318</v>
      </c>
      <c r="J54" s="178">
        <v>426.493</v>
      </c>
      <c r="K54" s="178">
        <v>15704.916</v>
      </c>
      <c r="L54" s="178">
        <v>10012.197</v>
      </c>
      <c r="M54" s="178">
        <v>39906.235</v>
      </c>
      <c r="N54" s="178">
        <v>8867.79</v>
      </c>
      <c r="O54" s="178">
        <v>59035.652</v>
      </c>
      <c r="Q54" s="178">
        <v>276115.288</v>
      </c>
      <c r="R54" s="178">
        <v>126246</v>
      </c>
    </row>
    <row r="55" spans="1:18" ht="12.75">
      <c r="A55" s="184">
        <v>1999</v>
      </c>
      <c r="B55" s="178">
        <v>8111.238</v>
      </c>
      <c r="C55" s="178">
        <v>10222.784</v>
      </c>
      <c r="D55" s="178">
        <v>5319.545</v>
      </c>
      <c r="E55" s="178">
        <v>5158.392</v>
      </c>
      <c r="F55" s="178">
        <v>59116.128</v>
      </c>
      <c r="G55" s="178">
        <v>10578.659</v>
      </c>
      <c r="H55" s="178">
        <v>3753.53</v>
      </c>
      <c r="I55" s="178">
        <v>57603.63399999999</v>
      </c>
      <c r="J55" s="178">
        <v>431.904</v>
      </c>
      <c r="K55" s="178">
        <v>15800.144000000002</v>
      </c>
      <c r="L55" s="178">
        <v>10030.143</v>
      </c>
      <c r="M55" s="178">
        <v>39953.263</v>
      </c>
      <c r="N55" s="178">
        <v>8870.66</v>
      </c>
      <c r="O55" s="178">
        <v>59293.32</v>
      </c>
      <c r="Q55" s="178">
        <v>279294.713</v>
      </c>
      <c r="R55" s="178">
        <v>126494.3068111825</v>
      </c>
    </row>
    <row r="56" spans="1:18" ht="12.75">
      <c r="A56" s="184">
        <v>2000</v>
      </c>
      <c r="B56" s="178">
        <v>8131.111</v>
      </c>
      <c r="C56" s="178">
        <v>10241.506000000001</v>
      </c>
      <c r="D56" s="178">
        <v>5336.394</v>
      </c>
      <c r="E56" s="178">
        <v>5167.486</v>
      </c>
      <c r="F56" s="178">
        <v>59381.62799999999</v>
      </c>
      <c r="G56" s="178">
        <v>10601.527000000002</v>
      </c>
      <c r="H56" s="178">
        <v>3797.257</v>
      </c>
      <c r="I56" s="178">
        <v>57719.336999999985</v>
      </c>
      <c r="J56" s="178">
        <v>437.389</v>
      </c>
      <c r="K56" s="178">
        <v>15892.237</v>
      </c>
      <c r="L56" s="178">
        <v>10048.232</v>
      </c>
      <c r="M56" s="178">
        <v>40016.081</v>
      </c>
      <c r="N56" s="178">
        <v>8873.052</v>
      </c>
      <c r="O56" s="178">
        <v>59522.46799999999</v>
      </c>
      <c r="Q56" s="178">
        <v>282338.631</v>
      </c>
      <c r="R56" s="178">
        <v>126699.68765500677</v>
      </c>
    </row>
    <row r="57" spans="1:18" ht="12.75">
      <c r="A57" s="184">
        <v>2001</v>
      </c>
      <c r="B57" s="178">
        <v>8150.835</v>
      </c>
      <c r="C57" s="178">
        <v>10258.762000000002</v>
      </c>
      <c r="D57" s="178">
        <v>5352.815</v>
      </c>
      <c r="E57" s="178">
        <v>5175.783000000001</v>
      </c>
      <c r="F57" s="178">
        <v>59658.144</v>
      </c>
      <c r="G57" s="178">
        <v>10623.835000000003</v>
      </c>
      <c r="H57" s="178">
        <v>3840.8380000000006</v>
      </c>
      <c r="I57" s="178">
        <v>57844.923999999985</v>
      </c>
      <c r="J57" s="178">
        <v>442.972</v>
      </c>
      <c r="K57" s="178">
        <v>15981.472000000002</v>
      </c>
      <c r="L57" s="178">
        <v>10066.253</v>
      </c>
      <c r="M57" s="178">
        <v>40087.104</v>
      </c>
      <c r="N57" s="178">
        <v>8875.053</v>
      </c>
      <c r="O57" s="178">
        <v>59723.24299999999</v>
      </c>
      <c r="Q57" s="178">
        <v>285023.886</v>
      </c>
      <c r="R57" s="178">
        <v>126891.54850911192</v>
      </c>
    </row>
    <row r="58" spans="1:18" ht="12.75">
      <c r="A58" s="184">
        <v>2002</v>
      </c>
      <c r="B58" s="178">
        <v>8169.929</v>
      </c>
      <c r="C58" s="178">
        <v>10274.595000000001</v>
      </c>
      <c r="D58" s="178">
        <v>5368.854</v>
      </c>
      <c r="E58" s="178">
        <v>5183.545000000001</v>
      </c>
      <c r="F58" s="178">
        <v>59925.034999999996</v>
      </c>
      <c r="G58" s="178">
        <v>10645.343000000004</v>
      </c>
      <c r="H58" s="178">
        <v>3883.159000000001</v>
      </c>
      <c r="I58" s="178">
        <v>57926.99899999999</v>
      </c>
      <c r="J58" s="178">
        <v>448.569</v>
      </c>
      <c r="K58" s="178">
        <v>16067.754000000004</v>
      </c>
      <c r="L58" s="178">
        <v>10084.245</v>
      </c>
      <c r="M58" s="178">
        <v>40152.517</v>
      </c>
      <c r="N58" s="178">
        <v>8876.744</v>
      </c>
      <c r="O58" s="178">
        <v>59912.43099999999</v>
      </c>
      <c r="Q58" s="178">
        <v>287675.526</v>
      </c>
      <c r="R58" s="178">
        <v>127065.74437664988</v>
      </c>
    </row>
    <row r="59" spans="1:18" ht="12.75">
      <c r="A59" s="184">
        <v>2003</v>
      </c>
      <c r="B59" s="178">
        <v>8188.206999999999</v>
      </c>
      <c r="C59" s="178">
        <v>10289.088000000002</v>
      </c>
      <c r="D59" s="178">
        <v>5384.384</v>
      </c>
      <c r="E59" s="178">
        <v>5190.785000000002</v>
      </c>
      <c r="F59" s="178">
        <v>60180.528999999995</v>
      </c>
      <c r="G59" s="178">
        <v>10665.989000000003</v>
      </c>
      <c r="H59" s="178">
        <v>3924.14</v>
      </c>
      <c r="I59" s="178">
        <v>57998.35299999999</v>
      </c>
      <c r="J59" s="178">
        <v>454.157</v>
      </c>
      <c r="K59" s="178">
        <v>16150.511000000002</v>
      </c>
      <c r="L59" s="178">
        <v>10102.022</v>
      </c>
      <c r="M59" s="178">
        <v>40217.413</v>
      </c>
      <c r="N59" s="178">
        <v>8878.085</v>
      </c>
      <c r="O59" s="178">
        <v>60094.647999999994</v>
      </c>
      <c r="Q59" s="178">
        <v>290342.554</v>
      </c>
      <c r="R59" s="178">
        <v>127214.40226360741</v>
      </c>
    </row>
    <row r="60" spans="1:18" ht="12.75">
      <c r="A60" s="185"/>
      <c r="B60" s="170"/>
      <c r="C60" s="170"/>
      <c r="D60" s="170"/>
      <c r="E60" s="170"/>
      <c r="F60" s="170"/>
      <c r="G60" s="170"/>
      <c r="H60" s="170"/>
      <c r="I60" s="170"/>
      <c r="J60" s="170"/>
      <c r="K60" s="170"/>
      <c r="L60" s="170"/>
      <c r="M60" s="170"/>
      <c r="N60" s="170"/>
      <c r="O60" s="170"/>
      <c r="P60" s="170"/>
      <c r="Q60" s="170"/>
      <c r="R60" s="170"/>
    </row>
    <row r="61" spans="1:18" ht="12.75">
      <c r="A61" s="172" t="s">
        <v>417</v>
      </c>
      <c r="B61" s="170"/>
      <c r="C61" s="170"/>
      <c r="D61" s="170"/>
      <c r="E61" s="170"/>
      <c r="F61" s="170"/>
      <c r="G61" s="170"/>
      <c r="H61" s="170"/>
      <c r="I61" s="170"/>
      <c r="J61" s="170"/>
      <c r="K61" s="170"/>
      <c r="L61" s="170"/>
      <c r="M61" s="170"/>
      <c r="N61" s="170"/>
      <c r="O61" s="170"/>
      <c r="P61" s="170"/>
      <c r="Q61" s="170"/>
      <c r="R61" s="170"/>
    </row>
    <row r="62" spans="1:18" ht="12.75">
      <c r="A62" s="185"/>
      <c r="B62" s="170"/>
      <c r="C62" s="170"/>
      <c r="D62" s="170"/>
      <c r="E62" s="170"/>
      <c r="F62" s="170"/>
      <c r="G62" s="170"/>
      <c r="H62" s="170"/>
      <c r="I62" s="170"/>
      <c r="J62" s="170"/>
      <c r="K62" s="170"/>
      <c r="L62" s="170"/>
      <c r="M62" s="170"/>
      <c r="N62" s="170"/>
      <c r="O62" s="170"/>
      <c r="P62" s="170"/>
      <c r="Q62" s="170"/>
      <c r="R62" s="170"/>
    </row>
    <row r="63" spans="1:18" ht="12.75">
      <c r="A63" s="185"/>
      <c r="B63" s="170"/>
      <c r="C63" s="170"/>
      <c r="D63" s="170"/>
      <c r="E63" s="170"/>
      <c r="F63" s="170"/>
      <c r="G63" s="170"/>
      <c r="H63" s="170"/>
      <c r="I63" s="170"/>
      <c r="J63" s="170"/>
      <c r="K63" s="170"/>
      <c r="L63" s="170"/>
      <c r="M63" s="170"/>
      <c r="N63" s="170"/>
      <c r="O63" s="170"/>
      <c r="P63" s="170"/>
      <c r="Q63" s="170"/>
      <c r="R63" s="170"/>
    </row>
    <row r="64" spans="1:18" ht="12.75">
      <c r="A64" s="185"/>
      <c r="B64" s="170"/>
      <c r="C64" s="170"/>
      <c r="D64" s="170"/>
      <c r="E64" s="170"/>
      <c r="F64" s="170"/>
      <c r="G64" s="170"/>
      <c r="H64" s="170"/>
      <c r="I64" s="170"/>
      <c r="J64" s="170"/>
      <c r="K64" s="170"/>
      <c r="L64" s="170"/>
      <c r="M64" s="170"/>
      <c r="N64" s="170"/>
      <c r="O64" s="170"/>
      <c r="P64" s="170"/>
      <c r="Q64" s="170"/>
      <c r="R64" s="170"/>
    </row>
    <row r="65" spans="1:18" ht="12.75">
      <c r="A65" s="185"/>
      <c r="B65" s="170"/>
      <c r="C65" s="170"/>
      <c r="D65" s="170"/>
      <c r="E65" s="170"/>
      <c r="F65" s="170"/>
      <c r="G65" s="170"/>
      <c r="H65" s="170"/>
      <c r="I65" s="170"/>
      <c r="J65" s="170"/>
      <c r="K65" s="170"/>
      <c r="L65" s="170"/>
      <c r="M65" s="170"/>
      <c r="N65" s="170"/>
      <c r="O65" s="170"/>
      <c r="P65" s="170"/>
      <c r="Q65" s="170"/>
      <c r="R65" s="170"/>
    </row>
    <row r="66" spans="1:18" ht="12.75">
      <c r="A66" s="185"/>
      <c r="B66" s="170"/>
      <c r="C66" s="170"/>
      <c r="D66" s="170"/>
      <c r="E66" s="170"/>
      <c r="F66" s="170"/>
      <c r="G66" s="170"/>
      <c r="H66" s="170"/>
      <c r="I66" s="170"/>
      <c r="J66" s="170"/>
      <c r="K66" s="170"/>
      <c r="L66" s="170"/>
      <c r="M66" s="170"/>
      <c r="N66" s="170"/>
      <c r="O66" s="170"/>
      <c r="P66" s="170"/>
      <c r="Q66" s="170"/>
      <c r="R66" s="170"/>
    </row>
    <row r="67" spans="1:18" ht="12.75">
      <c r="A67" s="185"/>
      <c r="B67" s="170"/>
      <c r="C67" s="170"/>
      <c r="D67" s="170"/>
      <c r="E67" s="170"/>
      <c r="F67" s="170"/>
      <c r="G67" s="170"/>
      <c r="H67" s="170"/>
      <c r="I67" s="170"/>
      <c r="J67" s="170"/>
      <c r="K67" s="170"/>
      <c r="L67" s="170"/>
      <c r="M67" s="170"/>
      <c r="N67" s="170"/>
      <c r="O67" s="170"/>
      <c r="P67" s="170"/>
      <c r="Q67" s="170"/>
      <c r="R67" s="170"/>
    </row>
    <row r="68" spans="1:18" ht="12.75">
      <c r="A68" s="185"/>
      <c r="B68" s="170"/>
      <c r="C68" s="170"/>
      <c r="D68" s="170"/>
      <c r="E68" s="170"/>
      <c r="F68" s="170"/>
      <c r="G68" s="170"/>
      <c r="H68" s="170"/>
      <c r="I68" s="170"/>
      <c r="J68" s="170"/>
      <c r="K68" s="170"/>
      <c r="L68" s="170"/>
      <c r="M68" s="170"/>
      <c r="N68" s="170"/>
      <c r="O68" s="170"/>
      <c r="P68" s="170"/>
      <c r="Q68" s="170"/>
      <c r="R68" s="170"/>
    </row>
    <row r="69" spans="1:18" ht="12.75">
      <c r="A69" s="185"/>
      <c r="B69" s="170"/>
      <c r="C69" s="170"/>
      <c r="D69" s="170"/>
      <c r="E69" s="170"/>
      <c r="F69" s="170"/>
      <c r="G69" s="170"/>
      <c r="H69" s="170"/>
      <c r="I69" s="170"/>
      <c r="J69" s="170"/>
      <c r="K69" s="170"/>
      <c r="L69" s="170"/>
      <c r="M69" s="170"/>
      <c r="N69" s="170"/>
      <c r="O69" s="170"/>
      <c r="P69" s="170"/>
      <c r="Q69" s="170"/>
      <c r="R69" s="170"/>
    </row>
    <row r="70" spans="1:18" ht="12.75">
      <c r="A70" s="185"/>
      <c r="B70" s="170"/>
      <c r="C70" s="170"/>
      <c r="D70" s="170"/>
      <c r="E70" s="170"/>
      <c r="F70" s="170"/>
      <c r="G70" s="170"/>
      <c r="H70" s="170"/>
      <c r="I70" s="170"/>
      <c r="J70" s="170"/>
      <c r="K70" s="170"/>
      <c r="L70" s="170"/>
      <c r="M70" s="170"/>
      <c r="N70" s="170"/>
      <c r="O70" s="170"/>
      <c r="P70" s="170"/>
      <c r="Q70" s="170"/>
      <c r="R70" s="170"/>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11" sqref="G11"/>
    </sheetView>
  </sheetViews>
  <sheetFormatPr defaultColWidth="9.140625" defaultRowHeight="12.75"/>
  <sheetData/>
  <printOptions/>
  <pageMargins left="0.75" right="0.75" top="1" bottom="1" header="0.5" footer="0.5"/>
  <pageSetup orientation="portrait" paperSize="9"/>
  <drawing r:id="rId1"/>
</worksheet>
</file>

<file path=xl/worksheets/sheet50.xml><?xml version="1.0" encoding="utf-8"?>
<worksheet xmlns="http://schemas.openxmlformats.org/spreadsheetml/2006/main" xmlns:r="http://schemas.openxmlformats.org/officeDocument/2006/relationships">
  <dimension ref="A1:AQ62"/>
  <sheetViews>
    <sheetView workbookViewId="0" topLeftCell="A16">
      <selection activeCell="A61" sqref="A61"/>
    </sheetView>
  </sheetViews>
  <sheetFormatPr defaultColWidth="9.140625" defaultRowHeight="12.75"/>
  <cols>
    <col min="1" max="1" width="9.140625" style="171" customWidth="1"/>
    <col min="2" max="5" width="9.140625" style="172" customWidth="1"/>
    <col min="6" max="6" width="11.28125" style="172" customWidth="1"/>
    <col min="7" max="15" width="9.140625" style="172" customWidth="1"/>
    <col min="16" max="16" width="12.7109375" style="172" bestFit="1" customWidth="1"/>
    <col min="17" max="16384" width="9.140625" style="172" customWidth="1"/>
  </cols>
  <sheetData>
    <row r="1" spans="1:41" ht="12.75">
      <c r="A1" s="171" t="s">
        <v>398</v>
      </c>
      <c r="T1" s="187" t="s">
        <v>421</v>
      </c>
      <c r="X1" s="187" t="s">
        <v>422</v>
      </c>
      <c r="AB1" s="187" t="s">
        <v>430</v>
      </c>
      <c r="AC1" s="187"/>
      <c r="AG1" s="187"/>
      <c r="AK1" s="187"/>
      <c r="AO1" s="187"/>
    </row>
    <row r="2" spans="1:18" ht="12.75">
      <c r="A2" s="173" t="s">
        <v>127</v>
      </c>
      <c r="B2" s="174"/>
      <c r="C2" s="174"/>
      <c r="D2" s="174"/>
      <c r="E2" s="174"/>
      <c r="F2" s="174"/>
      <c r="G2" s="174"/>
      <c r="H2" s="174"/>
      <c r="I2" s="174"/>
      <c r="J2" s="174"/>
      <c r="K2" s="174"/>
      <c r="L2" s="174"/>
      <c r="M2" s="174"/>
      <c r="N2" s="174"/>
      <c r="O2" s="174"/>
      <c r="P2" s="174"/>
      <c r="Q2" s="174"/>
      <c r="R2" s="174"/>
    </row>
    <row r="3" spans="1:43" ht="12.75">
      <c r="A3" s="175"/>
      <c r="B3" s="176" t="s">
        <v>128</v>
      </c>
      <c r="C3" s="176" t="s">
        <v>129</v>
      </c>
      <c r="D3" s="176" t="s">
        <v>130</v>
      </c>
      <c r="E3" s="176" t="s">
        <v>131</v>
      </c>
      <c r="F3" s="176" t="s">
        <v>132</v>
      </c>
      <c r="G3" s="176" t="s">
        <v>145</v>
      </c>
      <c r="H3" s="176" t="s">
        <v>133</v>
      </c>
      <c r="I3" s="176" t="s">
        <v>134</v>
      </c>
      <c r="J3" s="176" t="s">
        <v>399</v>
      </c>
      <c r="K3" s="176" t="s">
        <v>136</v>
      </c>
      <c r="L3" s="176" t="s">
        <v>137</v>
      </c>
      <c r="M3" s="176" t="s">
        <v>138</v>
      </c>
      <c r="N3" s="176" t="s">
        <v>139</v>
      </c>
      <c r="O3" s="176" t="s">
        <v>140</v>
      </c>
      <c r="P3" s="186" t="s">
        <v>419</v>
      </c>
      <c r="Q3" s="176" t="s">
        <v>146</v>
      </c>
      <c r="R3" s="176" t="s">
        <v>135</v>
      </c>
      <c r="T3" s="187" t="s">
        <v>419</v>
      </c>
      <c r="U3" s="187" t="s">
        <v>141</v>
      </c>
      <c r="V3" s="187" t="s">
        <v>135</v>
      </c>
      <c r="X3" s="187" t="s">
        <v>419</v>
      </c>
      <c r="Y3" s="187" t="s">
        <v>141</v>
      </c>
      <c r="Z3" s="187" t="s">
        <v>135</v>
      </c>
      <c r="AA3" s="187"/>
      <c r="AC3" s="187" t="s">
        <v>423</v>
      </c>
      <c r="AD3" s="187" t="s">
        <v>141</v>
      </c>
      <c r="AE3" s="187" t="s">
        <v>424</v>
      </c>
      <c r="AG3" s="187"/>
      <c r="AH3" s="187"/>
      <c r="AI3" s="187"/>
      <c r="AK3" s="187"/>
      <c r="AL3" s="187"/>
      <c r="AM3" s="187"/>
      <c r="AO3" s="187"/>
      <c r="AP3" s="187"/>
      <c r="AQ3" s="187"/>
    </row>
    <row r="4" spans="1:18" ht="12.75">
      <c r="A4" s="175"/>
      <c r="B4" s="176"/>
      <c r="C4" s="176"/>
      <c r="D4" s="176"/>
      <c r="E4" s="176"/>
      <c r="F4" s="176"/>
      <c r="G4" s="176"/>
      <c r="H4" s="176"/>
      <c r="I4" s="176"/>
      <c r="J4" s="176" t="s">
        <v>400</v>
      </c>
      <c r="K4" s="176" t="s">
        <v>143</v>
      </c>
      <c r="L4" s="176"/>
      <c r="M4" s="176"/>
      <c r="N4" s="176"/>
      <c r="O4" s="176"/>
      <c r="P4" s="176"/>
      <c r="Q4" s="176"/>
      <c r="R4" s="176"/>
    </row>
    <row r="5" spans="1:33" ht="12.75">
      <c r="A5" s="175"/>
      <c r="B5" s="176" t="s">
        <v>401</v>
      </c>
      <c r="C5" s="176" t="s">
        <v>402</v>
      </c>
      <c r="D5" s="176" t="s">
        <v>403</v>
      </c>
      <c r="E5" s="176" t="s">
        <v>404</v>
      </c>
      <c r="F5" s="176" t="s">
        <v>405</v>
      </c>
      <c r="G5" s="176" t="s">
        <v>406</v>
      </c>
      <c r="H5" s="176" t="s">
        <v>407</v>
      </c>
      <c r="I5" s="176" t="s">
        <v>408</v>
      </c>
      <c r="J5" s="176" t="s">
        <v>410</v>
      </c>
      <c r="K5" s="176" t="s">
        <v>411</v>
      </c>
      <c r="L5" s="176" t="s">
        <v>412</v>
      </c>
      <c r="M5" s="176" t="s">
        <v>413</v>
      </c>
      <c r="N5" s="176" t="s">
        <v>414</v>
      </c>
      <c r="O5" s="176" t="s">
        <v>415</v>
      </c>
      <c r="P5" s="176"/>
      <c r="Q5" s="176" t="s">
        <v>416</v>
      </c>
      <c r="R5" s="176" t="s">
        <v>409</v>
      </c>
      <c r="AB5" s="187" t="s">
        <v>425</v>
      </c>
      <c r="AC5" s="189">
        <f>AVERAGE(T8:T18)</f>
        <v>0.035311893031498946</v>
      </c>
      <c r="AD5" s="189">
        <f>AVERAGE(U8:U18)</f>
        <v>0.015263917836822459</v>
      </c>
      <c r="AE5" s="189">
        <f>AVERAGE(V8:V18)</f>
        <v>0.07664219695439094</v>
      </c>
      <c r="AG5" s="188"/>
    </row>
    <row r="6" spans="1:31" ht="12.75">
      <c r="A6" s="171">
        <v>1950</v>
      </c>
      <c r="B6" s="174">
        <v>4835.796115161875</v>
      </c>
      <c r="C6" s="174">
        <v>6742.57904529831</v>
      </c>
      <c r="D6" s="174">
        <v>8764.96809868878</v>
      </c>
      <c r="E6" s="174">
        <v>5318.054079524662</v>
      </c>
      <c r="F6" s="174">
        <v>6169.713648859063</v>
      </c>
      <c r="G6" s="174">
        <v>2490.134734271221</v>
      </c>
      <c r="H6" s="174">
        <v>4451.6214101728265</v>
      </c>
      <c r="I6" s="174">
        <v>4591.191204328222</v>
      </c>
      <c r="J6" s="174">
        <v>11569.957149288104</v>
      </c>
      <c r="K6" s="174">
        <v>7536.850213230595</v>
      </c>
      <c r="L6" s="174">
        <v>2598.464046060527</v>
      </c>
      <c r="M6" s="174">
        <v>2789.3225435995537</v>
      </c>
      <c r="N6" s="174">
        <v>8216.377670646774</v>
      </c>
      <c r="O6" s="174">
        <v>8365.86751414619</v>
      </c>
      <c r="P6" s="174">
        <f>(B6*pop_oecd_long_past!B6+C6*pop_oecd_long_past!C6+D6*pop_oecd_long_past!D6+E6*pop_oecd_long_past!E6+F6*pop_oecd_long_past!F6+G6*pop_oecd_long_past!G6+H6*pop_oecd_long_past!H6+I6*pop_oecd_long_past!I6+J6*pop_oecd_long_past!J6+K6*pop_oecd_long_past!K6+L6*pop_oecd_long_past!L6+M6*pop_oecd_long_past!M6+N6*pop_oecd_long_past!N6+O6*pop_oecd_long_past!O6)/SUM(pop_oecd_long_past!B6:O6)</f>
        <v>5777.995002222385</v>
      </c>
      <c r="Q6" s="174">
        <v>11448.881062031554</v>
      </c>
      <c r="R6" s="174">
        <v>2316.503076921716</v>
      </c>
      <c r="AB6" s="187" t="s">
        <v>426</v>
      </c>
      <c r="AC6" s="189">
        <f>AVERAGE(T19:T28)</f>
        <v>0.039762366842147887</v>
      </c>
      <c r="AD6" s="189">
        <f>AVERAGE(U19:U28)</f>
        <v>0.029808854699908287</v>
      </c>
      <c r="AE6" s="189">
        <f>AVERAGE(V19:V28)</f>
        <v>0.08466112656408747</v>
      </c>
    </row>
    <row r="7" spans="1:31" ht="12.75">
      <c r="A7" s="171">
        <v>1951</v>
      </c>
      <c r="B7" s="174">
        <v>5166.299931234356</v>
      </c>
      <c r="C7" s="174">
        <v>7094.035067553551</v>
      </c>
      <c r="D7" s="174">
        <v>8756.61274543541</v>
      </c>
      <c r="E7" s="174">
        <v>5715.548630060207</v>
      </c>
      <c r="F7" s="174">
        <v>6498.9746006741125</v>
      </c>
      <c r="G7" s="174">
        <v>2680.9531596776746</v>
      </c>
      <c r="H7" s="174">
        <v>4569.161385235165</v>
      </c>
      <c r="I7" s="174">
        <v>4901.381986453206</v>
      </c>
      <c r="J7" s="174">
        <v>10657.273642176215</v>
      </c>
      <c r="K7" s="174">
        <v>7581.9002583721785</v>
      </c>
      <c r="L7" s="174">
        <v>2699.6641545597895</v>
      </c>
      <c r="M7" s="174">
        <v>3041.0177983699423</v>
      </c>
      <c r="N7" s="174">
        <v>8471.9362682622</v>
      </c>
      <c r="O7" s="174">
        <v>8587.68004578083</v>
      </c>
      <c r="P7" s="174">
        <f>(B7*pop_oecd_long_past!B7+C7*pop_oecd_long_past!C7+D7*pop_oecd_long_past!D7+E7*pop_oecd_long_past!E7+F7*pop_oecd_long_past!F7+G7*pop_oecd_long_past!G7+H7*pop_oecd_long_past!H7+I7*pop_oecd_long_past!I7+J7*pop_oecd_long_past!J7+K7*pop_oecd_long_past!K7+L7*pop_oecd_long_past!L7+M7*pop_oecd_long_past!M7+N7*pop_oecd_long_past!N7+O7*pop_oecd_long_past!O7)/SUM(pop_oecd_long_past!B7:O7)</f>
        <v>6031.642017478231</v>
      </c>
      <c r="Q7" s="174">
        <v>12113.323643084073</v>
      </c>
      <c r="R7" s="174">
        <v>2563.605323202072</v>
      </c>
      <c r="T7" s="188">
        <f>(P7-P6)/P6</f>
        <v>0.0438987945054099</v>
      </c>
      <c r="U7" s="188">
        <f aca="true" t="shared" si="0" ref="U7:U58">(Q7-Q6)/Q6</f>
        <v>0.058035591203409405</v>
      </c>
      <c r="V7" s="188">
        <f aca="true" t="shared" si="1" ref="V7:V58">(R7-R6)/R6</f>
        <v>0.1066703725724025</v>
      </c>
      <c r="AB7" s="187" t="s">
        <v>427</v>
      </c>
      <c r="AC7" s="189">
        <f>AVERAGE(T29:T38)</f>
        <v>0.021008523151580694</v>
      </c>
      <c r="AD7" s="189">
        <f>AVERAGE(U29:U38)</f>
        <v>0.014373375176562097</v>
      </c>
      <c r="AE7" s="189">
        <f>AVERAGE(V29:V38)</f>
        <v>0.027743834002273877</v>
      </c>
    </row>
    <row r="8" spans="1:31" ht="12.75">
      <c r="A8" s="171">
        <v>1952</v>
      </c>
      <c r="B8" s="174">
        <v>5176.546793700396</v>
      </c>
      <c r="C8" s="174">
        <v>6996.906215663634</v>
      </c>
      <c r="D8" s="174">
        <v>8780.284780740405</v>
      </c>
      <c r="E8" s="174">
        <v>5844.701322101988</v>
      </c>
      <c r="F8" s="174">
        <v>6623.6892519278235</v>
      </c>
      <c r="G8" s="174">
        <v>2669.8454704803785</v>
      </c>
      <c r="H8" s="174">
        <v>4695.964123934482</v>
      </c>
      <c r="I8" s="174">
        <v>5240.845654160591</v>
      </c>
      <c r="J8" s="174">
        <v>11356.626813749044</v>
      </c>
      <c r="K8" s="174">
        <v>7647.057524013427</v>
      </c>
      <c r="L8" s="174">
        <v>2691.834298038945</v>
      </c>
      <c r="M8" s="174">
        <v>3260.162350672605</v>
      </c>
      <c r="N8" s="174">
        <v>8529.561679657681</v>
      </c>
      <c r="O8" s="174">
        <v>8548.324761323089</v>
      </c>
      <c r="P8" s="174">
        <f>(B8*pop_oecd_long_past!B8+C8*pop_oecd_long_past!C8+D8*pop_oecd_long_past!D8+E8*pop_oecd_long_past!E8+F8*pop_oecd_long_past!F8+G8*pop_oecd_long_past!G8+H8*pop_oecd_long_past!H8+I8*pop_oecd_long_past!I8+J8*pop_oecd_long_past!J8+K8*pop_oecd_long_past!K8+L8*pop_oecd_long_past!L8+M8*pop_oecd_long_past!M8+N8*pop_oecd_long_past!N8+O8*pop_oecd_long_past!O8)/SUM(pop_oecd_long_past!B8:O8)</f>
        <v>6147.353002891366</v>
      </c>
      <c r="Q8" s="174">
        <v>12351.965963674613</v>
      </c>
      <c r="R8" s="174">
        <v>2817.867518002298</v>
      </c>
      <c r="T8" s="188">
        <f aca="true" t="shared" si="2" ref="T8:T58">(P8-P7)/P7</f>
        <v>0.019183994188950983</v>
      </c>
      <c r="U8" s="188">
        <f t="shared" si="0"/>
        <v>0.019700812726719207</v>
      </c>
      <c r="V8" s="188">
        <f t="shared" si="1"/>
        <v>0.09918148963844378</v>
      </c>
      <c r="AB8" s="187" t="s">
        <v>428</v>
      </c>
      <c r="AC8" s="189">
        <f>AVERAGE(T39:T48)</f>
        <v>0.02154644503915614</v>
      </c>
      <c r="AD8" s="189">
        <f>AVERAGE(U39:U48)</f>
        <v>0.02391044662221821</v>
      </c>
      <c r="AE8" s="189">
        <f>AVERAGE(V39:V48)</f>
        <v>0.033055136369103594</v>
      </c>
    </row>
    <row r="9" spans="1:31" ht="12.75">
      <c r="A9" s="171">
        <v>1953</v>
      </c>
      <c r="B9" s="174">
        <v>5398.139757603289</v>
      </c>
      <c r="C9" s="174">
        <v>7181.962968733413</v>
      </c>
      <c r="D9" s="174">
        <v>9204.896105429478</v>
      </c>
      <c r="E9" s="174">
        <v>5816.1318827321675</v>
      </c>
      <c r="F9" s="174">
        <v>6768.3260849069675</v>
      </c>
      <c r="G9" s="174">
        <v>3003.0071774275293</v>
      </c>
      <c r="H9" s="174">
        <v>4830.538354828582</v>
      </c>
      <c r="I9" s="174">
        <v>5584.862527011817</v>
      </c>
      <c r="J9" s="174">
        <v>11424.751054135795</v>
      </c>
      <c r="K9" s="174">
        <v>8223.655556181095</v>
      </c>
      <c r="L9" s="174">
        <v>2861.9273799545253</v>
      </c>
      <c r="M9" s="174">
        <v>3220.8555966950717</v>
      </c>
      <c r="N9" s="174">
        <v>8710.56051726457</v>
      </c>
      <c r="O9" s="174">
        <v>8855.839136388378</v>
      </c>
      <c r="P9" s="174">
        <f>(B9*pop_oecd_long_past!B9+C9*pop_oecd_long_past!C9+D9*pop_oecd_long_past!D9+E9*pop_oecd_long_past!E9+F9*pop_oecd_long_past!F9+G9*pop_oecd_long_past!G9+H9*pop_oecd_long_past!H9+I9*pop_oecd_long_past!I9+J9*pop_oecd_long_past!J9+K9*pop_oecd_long_past!K9+L9*pop_oecd_long_past!L9+M9*pop_oecd_long_past!M9+N9*pop_oecd_long_past!N9+O9*pop_oecd_long_past!O9)/SUM(pop_oecd_long_past!B9:O9)</f>
        <v>6377.468534664489</v>
      </c>
      <c r="Q9" s="174">
        <v>12707.673493042814</v>
      </c>
      <c r="R9" s="174">
        <v>2984.2107612215113</v>
      </c>
      <c r="T9" s="188">
        <f t="shared" si="2"/>
        <v>0.03743327114367604</v>
      </c>
      <c r="U9" s="188">
        <f t="shared" si="0"/>
        <v>0.028797644878093623</v>
      </c>
      <c r="V9" s="188">
        <f t="shared" si="1"/>
        <v>0.059031605338614734</v>
      </c>
      <c r="AB9" s="187" t="s">
        <v>429</v>
      </c>
      <c r="AC9" s="189">
        <f>AVERAGE(T49:T58)</f>
        <v>0.0207229098296106</v>
      </c>
      <c r="AD9" s="189">
        <f>AVERAGE(U49:U58)</f>
        <v>0.02090960053685492</v>
      </c>
      <c r="AE9" s="189">
        <f>AVERAGE(V49:V58)</f>
        <v>0.008810437908482176</v>
      </c>
    </row>
    <row r="10" spans="1:31" ht="12.75">
      <c r="A10" s="171">
        <v>1954</v>
      </c>
      <c r="B10" s="174">
        <v>5943.188104899095</v>
      </c>
      <c r="C10" s="174">
        <v>7442.36903886707</v>
      </c>
      <c r="D10" s="174">
        <v>9305.536407524978</v>
      </c>
      <c r="E10" s="174">
        <v>6253.641004491079</v>
      </c>
      <c r="F10" s="174">
        <v>7046.405193943598</v>
      </c>
      <c r="G10" s="174">
        <v>3066.554213195033</v>
      </c>
      <c r="H10" s="174">
        <v>4891.339353533211</v>
      </c>
      <c r="I10" s="174">
        <v>5832.940935502399</v>
      </c>
      <c r="J10" s="174">
        <v>11396.168694923586</v>
      </c>
      <c r="K10" s="174">
        <v>8681.604437711601</v>
      </c>
      <c r="L10" s="174">
        <v>2980.7932103842522</v>
      </c>
      <c r="M10" s="174">
        <v>3434.8903719725204</v>
      </c>
      <c r="N10" s="174">
        <v>9024.542756592575</v>
      </c>
      <c r="O10" s="174">
        <v>9185.449475901021</v>
      </c>
      <c r="P10" s="174">
        <f>(B10*pop_oecd_long_past!B10+C10*pop_oecd_long_past!C10+D10*pop_oecd_long_past!D10+E10*pop_oecd_long_past!E10+F10*pop_oecd_long_past!F10+G10*pop_oecd_long_past!G10+H10*pop_oecd_long_past!H10+I10*pop_oecd_long_past!I10+J10*pop_oecd_long_past!J10+K10*pop_oecd_long_past!K10+L10*pop_oecd_long_past!L10+M10*pop_oecd_long_past!M10+N10*pop_oecd_long_past!N10+O10*pop_oecd_long_past!O10)/SUM(pop_oecd_long_past!B10:O10)</f>
        <v>6650.111419229407</v>
      </c>
      <c r="Q10" s="174">
        <v>12404.12976218461</v>
      </c>
      <c r="R10" s="174">
        <v>3113.8843696194785</v>
      </c>
      <c r="T10" s="188">
        <f t="shared" si="2"/>
        <v>0.04275095723059673</v>
      </c>
      <c r="U10" s="188">
        <f t="shared" si="0"/>
        <v>-0.023886648569023113</v>
      </c>
      <c r="V10" s="188">
        <f t="shared" si="1"/>
        <v>0.043453233961561276</v>
      </c>
      <c r="AC10" s="189"/>
      <c r="AD10" s="189"/>
      <c r="AE10" s="189"/>
    </row>
    <row r="11" spans="1:31" ht="12.75">
      <c r="A11" s="171">
        <v>1955</v>
      </c>
      <c r="B11" s="174">
        <v>6593.752753354649</v>
      </c>
      <c r="C11" s="174">
        <v>7752.346089517227</v>
      </c>
      <c r="D11" s="174">
        <v>9335.89390570692</v>
      </c>
      <c r="E11" s="174">
        <v>6497.787971472852</v>
      </c>
      <c r="F11" s="174">
        <v>7387.297779395373</v>
      </c>
      <c r="G11" s="174">
        <v>3268.471641400838</v>
      </c>
      <c r="H11" s="174">
        <v>5054.163835046836</v>
      </c>
      <c r="I11" s="174">
        <v>6129.993717529176</v>
      </c>
      <c r="J11" s="174">
        <v>11880.011402399514</v>
      </c>
      <c r="K11" s="174">
        <v>9208.241914885157</v>
      </c>
      <c r="L11" s="174">
        <v>3082.1167642200053</v>
      </c>
      <c r="M11" s="174">
        <v>3540.3145510642657</v>
      </c>
      <c r="N11" s="174">
        <v>9223.821201056526</v>
      </c>
      <c r="O11" s="174">
        <v>9485.549294505738</v>
      </c>
      <c r="P11" s="174">
        <f>(B11*pop_oecd_long_past!B11+C11*pop_oecd_long_past!C11+D11*pop_oecd_long_past!D11+E11*pop_oecd_long_past!E11+F11*pop_oecd_long_past!F11+G11*pop_oecd_long_past!G11+H11*pop_oecd_long_past!H11+I11*pop_oecd_long_past!I11+J11*pop_oecd_long_past!J11+K11*pop_oecd_long_past!K11+L11*pop_oecd_long_past!L11+M11*pop_oecd_long_past!M11+N11*pop_oecd_long_past!N11+O11*pop_oecd_long_past!O11)/SUM(pop_oecd_long_past!B11:O11)</f>
        <v>6930.680400861449</v>
      </c>
      <c r="Q11" s="174">
        <v>13048.034171314892</v>
      </c>
      <c r="R11" s="174">
        <v>3341.689981356102</v>
      </c>
      <c r="T11" s="188">
        <f t="shared" si="2"/>
        <v>0.042190117419800055</v>
      </c>
      <c r="U11" s="188">
        <f t="shared" si="0"/>
        <v>0.051910486384405416</v>
      </c>
      <c r="V11" s="188">
        <f t="shared" si="1"/>
        <v>0.07315801895510392</v>
      </c>
      <c r="AB11" s="187" t="s">
        <v>439</v>
      </c>
      <c r="AC11" s="189">
        <f>AVERAGE(T29:T58)</f>
        <v>0.021092626006782477</v>
      </c>
      <c r="AD11" s="189">
        <f>AVERAGE(U29:U58)</f>
        <v>0.019731140778545073</v>
      </c>
      <c r="AE11" s="189">
        <f>AVERAGE(V29:V58)</f>
        <v>0.02320313609328655</v>
      </c>
    </row>
    <row r="12" spans="1:22" ht="12.75">
      <c r="A12" s="171">
        <v>1956</v>
      </c>
      <c r="B12" s="174">
        <v>7041.8120684458545</v>
      </c>
      <c r="C12" s="174">
        <v>7927.919221477259</v>
      </c>
      <c r="D12" s="174">
        <v>9390.681241278538</v>
      </c>
      <c r="E12" s="174">
        <v>6620.958583531546</v>
      </c>
      <c r="F12" s="174">
        <v>7687.60374798965</v>
      </c>
      <c r="G12" s="174">
        <v>3518.5340714699164</v>
      </c>
      <c r="H12" s="174">
        <v>5024.264510414276</v>
      </c>
      <c r="I12" s="174">
        <v>6370.208788512356</v>
      </c>
      <c r="J12" s="174">
        <v>12316.053202209236</v>
      </c>
      <c r="K12" s="174">
        <v>9425.284627854913</v>
      </c>
      <c r="L12" s="174">
        <v>3193.3603673401785</v>
      </c>
      <c r="M12" s="174">
        <v>3794.5942166182963</v>
      </c>
      <c r="N12" s="174">
        <v>9506.068076338086</v>
      </c>
      <c r="O12" s="174">
        <v>9558.621464296273</v>
      </c>
      <c r="P12" s="174">
        <f>(B12*pop_oecd_long_past!B12+C12*pop_oecd_long_past!C12+D12*pop_oecd_long_past!D12+E12*pop_oecd_long_past!E12+F12*pop_oecd_long_past!F12+G12*pop_oecd_long_past!G12+H12*pop_oecd_long_past!H12+I12*pop_oecd_long_past!I12+J12*pop_oecd_long_past!J12+K12*pop_oecd_long_past!K12+L12*pop_oecd_long_past!L12+M12*pop_oecd_long_past!M12+N12*pop_oecd_long_past!N12+O12*pop_oecd_long_past!O12)/SUM(pop_oecd_long_past!B12:O12)</f>
        <v>7137.440967662119</v>
      </c>
      <c r="Q12" s="174">
        <v>13068.90201867165</v>
      </c>
      <c r="R12" s="174">
        <v>3555.314403960447</v>
      </c>
      <c r="T12" s="188">
        <f t="shared" si="2"/>
        <v>0.029832650597331055</v>
      </c>
      <c r="U12" s="188">
        <f t="shared" si="0"/>
        <v>0.0015993096801228718</v>
      </c>
      <c r="V12" s="188">
        <f t="shared" si="1"/>
        <v>0.06392706199443833</v>
      </c>
    </row>
    <row r="13" spans="1:22" ht="12.75">
      <c r="A13" s="171">
        <v>1957</v>
      </c>
      <c r="B13" s="174">
        <v>7458.620165337961</v>
      </c>
      <c r="C13" s="174">
        <v>8017.018381705725</v>
      </c>
      <c r="D13" s="174">
        <v>10055.127568684187</v>
      </c>
      <c r="E13" s="174">
        <v>6864.4358894111165</v>
      </c>
      <c r="F13" s="174">
        <v>8064.4403485925495</v>
      </c>
      <c r="G13" s="174">
        <v>3717.619145492466</v>
      </c>
      <c r="H13" s="174">
        <v>5046.3827586003</v>
      </c>
      <c r="I13" s="174">
        <v>6710.484521922819</v>
      </c>
      <c r="J13" s="174">
        <v>12829.337654599174</v>
      </c>
      <c r="K13" s="174">
        <v>9569.883112152302</v>
      </c>
      <c r="L13" s="174">
        <v>3311.428442795417</v>
      </c>
      <c r="M13" s="174">
        <v>3881.5498440199385</v>
      </c>
      <c r="N13" s="174">
        <v>9866.170604673374</v>
      </c>
      <c r="O13" s="174">
        <v>9665.032061374399</v>
      </c>
      <c r="P13" s="174">
        <f>(B13*pop_oecd_long_past!B13+C13*pop_oecd_long_past!C13+D13*pop_oecd_long_past!D13+E13*pop_oecd_long_past!E13+F13*pop_oecd_long_past!F13+G13*pop_oecd_long_past!G13+H13*pop_oecd_long_past!H13+I13*pop_oecd_long_past!I13+J13*pop_oecd_long_past!J13+K13*pop_oecd_long_past!K13+L13*pop_oecd_long_past!L13+M13*pop_oecd_long_past!M13+N13*pop_oecd_long_past!N13+O13*pop_oecd_long_past!O13)/SUM(pop_oecd_long_past!B13:O13)</f>
        <v>7373.606394522787</v>
      </c>
      <c r="Q13" s="174">
        <v>13075.732757428908</v>
      </c>
      <c r="R13" s="174">
        <v>3782.0495742130884</v>
      </c>
      <c r="T13" s="188">
        <f t="shared" si="2"/>
        <v>0.033088249406288885</v>
      </c>
      <c r="U13" s="188">
        <f t="shared" si="0"/>
        <v>0.0005226712043214842</v>
      </c>
      <c r="V13" s="188">
        <f t="shared" si="1"/>
        <v>0.0637735920063973</v>
      </c>
    </row>
    <row r="14" spans="1:22" ht="12.75">
      <c r="A14" s="171">
        <v>1958</v>
      </c>
      <c r="B14" s="174">
        <v>7707.194344615658</v>
      </c>
      <c r="C14" s="174">
        <v>7951.834928431943</v>
      </c>
      <c r="D14" s="174">
        <v>10219.40097747194</v>
      </c>
      <c r="E14" s="174">
        <v>6844.778270392419</v>
      </c>
      <c r="F14" s="174">
        <v>8178.496764754099</v>
      </c>
      <c r="G14" s="174">
        <v>3853.0291900322713</v>
      </c>
      <c r="H14" s="174">
        <v>4988.737821969583</v>
      </c>
      <c r="I14" s="174">
        <v>7027.283523304073</v>
      </c>
      <c r="J14" s="174">
        <v>12925.378524996378</v>
      </c>
      <c r="K14" s="174">
        <v>9404.611670929184</v>
      </c>
      <c r="L14" s="174">
        <v>3328.17031742249</v>
      </c>
      <c r="M14" s="174">
        <v>4013.6936053877434</v>
      </c>
      <c r="N14" s="174">
        <v>9854.499515207694</v>
      </c>
      <c r="O14" s="174">
        <v>9603.302583697554</v>
      </c>
      <c r="P14" s="174">
        <f>(B14*pop_oecd_long_past!B14+C14*pop_oecd_long_past!C14+D14*pop_oecd_long_past!D14+E14*pop_oecd_long_past!E14+F14*pop_oecd_long_past!F14+G14*pop_oecd_long_past!G14+H14*pop_oecd_long_past!H14+I14*pop_oecd_long_past!I14+J14*pop_oecd_long_past!J14+K14*pop_oecd_long_past!K14+L14*pop_oecd_long_past!L14+M14*pop_oecd_long_past!M14+N14*pop_oecd_long_past!N14+O14*pop_oecd_long_past!O14)/SUM(pop_oecd_long_past!B14:O14)</f>
        <v>7466.822903618483</v>
      </c>
      <c r="Q14" s="174">
        <v>12729.131146641459</v>
      </c>
      <c r="R14" s="174">
        <v>3966.592981620356</v>
      </c>
      <c r="T14" s="188">
        <f t="shared" si="2"/>
        <v>0.0126419155170716</v>
      </c>
      <c r="U14" s="188">
        <f t="shared" si="0"/>
        <v>-0.026507241866849066</v>
      </c>
      <c r="V14" s="188">
        <f t="shared" si="1"/>
        <v>0.0487945500940888</v>
      </c>
    </row>
    <row r="15" spans="1:22" ht="12.75">
      <c r="A15" s="171">
        <v>1959</v>
      </c>
      <c r="B15" s="174">
        <v>7895.762425296091</v>
      </c>
      <c r="C15" s="174">
        <v>8157.303094663691</v>
      </c>
      <c r="D15" s="174">
        <v>10903.535525057805</v>
      </c>
      <c r="E15" s="174">
        <v>7193.857691067043</v>
      </c>
      <c r="F15" s="174">
        <v>8328.746017656733</v>
      </c>
      <c r="G15" s="174">
        <v>3953.3366837805115</v>
      </c>
      <c r="H15" s="174">
        <v>5206.321963779927</v>
      </c>
      <c r="I15" s="174">
        <v>7411.5827012931395</v>
      </c>
      <c r="J15" s="174">
        <v>13154.739676644307</v>
      </c>
      <c r="K15" s="174">
        <v>9724.636682364733</v>
      </c>
      <c r="L15" s="174">
        <v>3479.7804346783323</v>
      </c>
      <c r="M15" s="174">
        <v>3887.075665981935</v>
      </c>
      <c r="N15" s="174">
        <v>10104.531718509328</v>
      </c>
      <c r="O15" s="174">
        <v>9933.6146724555</v>
      </c>
      <c r="P15" s="174">
        <f>(B15*pop_oecd_long_past!B15+C15*pop_oecd_long_past!C15+D15*pop_oecd_long_past!D15+E15*pop_oecd_long_past!E15+F15*pop_oecd_long_past!F15+G15*pop_oecd_long_past!G15+H15*pop_oecd_long_past!H15+I15*pop_oecd_long_past!I15+J15*pop_oecd_long_past!J15+K15*pop_oecd_long_past!K15+L15*pop_oecd_long_past!L15+M15*pop_oecd_long_past!M15+N15*pop_oecd_long_past!N15+O15*pop_oecd_long_past!O15)/SUM(pop_oecd_long_past!B15:O15)</f>
        <v>7695.625945511621</v>
      </c>
      <c r="Q15" s="174">
        <v>13447.149301308054</v>
      </c>
      <c r="R15" s="174">
        <v>4286.237287383523</v>
      </c>
      <c r="T15" s="188">
        <f t="shared" si="2"/>
        <v>0.030642623354875304</v>
      </c>
      <c r="U15" s="188">
        <f t="shared" si="0"/>
        <v>0.05640747560810874</v>
      </c>
      <c r="V15" s="188">
        <f t="shared" si="1"/>
        <v>0.08058409502670776</v>
      </c>
    </row>
    <row r="16" spans="1:22" ht="12.75">
      <c r="A16" s="171">
        <v>1960</v>
      </c>
      <c r="B16" s="174">
        <v>8505.583756203005</v>
      </c>
      <c r="C16" s="174">
        <v>8581.699845612253</v>
      </c>
      <c r="D16" s="174">
        <v>11124.046890251953</v>
      </c>
      <c r="E16" s="174">
        <v>7790.067448241415</v>
      </c>
      <c r="F16" s="174">
        <v>8831.650251981999</v>
      </c>
      <c r="G16" s="174">
        <v>4090.3558661935485</v>
      </c>
      <c r="H16" s="174">
        <v>5520.705190847275</v>
      </c>
      <c r="I16" s="174">
        <v>7756.527737659987</v>
      </c>
      <c r="J16" s="174">
        <v>13553.519216500938</v>
      </c>
      <c r="K16" s="174">
        <v>10415.878251293183</v>
      </c>
      <c r="L16" s="174">
        <v>3681.2751273070016</v>
      </c>
      <c r="M16" s="174">
        <v>3914.0875340614502</v>
      </c>
      <c r="N16" s="174">
        <v>10591.691556383152</v>
      </c>
      <c r="O16" s="174">
        <v>10422.388419978775</v>
      </c>
      <c r="P16" s="174">
        <f>(B16*pop_oecd_long_past!B16+C16*pop_oecd_long_past!C16+D16*pop_oecd_long_past!D16+E16*pop_oecd_long_past!E16+F16*pop_oecd_long_past!F16+G16*pop_oecd_long_past!G16+H16*pop_oecd_long_past!H16+I16*pop_oecd_long_past!I16+J16*pop_oecd_long_past!J16+K16*pop_oecd_long_past!K16+L16*pop_oecd_long_past!L16+M16*pop_oecd_long_past!M16+N16*pop_oecd_long_past!N16+O16*pop_oecd_long_past!O16)/SUM(pop_oecd_long_past!B16:O16)</f>
        <v>8082.01901685845</v>
      </c>
      <c r="Q16" s="174">
        <v>13564.862475260386</v>
      </c>
      <c r="R16" s="174">
        <v>4807.855935548613</v>
      </c>
      <c r="T16" s="188">
        <f t="shared" si="2"/>
        <v>0.0502094402823969</v>
      </c>
      <c r="U16" s="188">
        <f t="shared" si="0"/>
        <v>0.008753764185609332</v>
      </c>
      <c r="V16" s="188">
        <f t="shared" si="1"/>
        <v>0.12169616686889154</v>
      </c>
    </row>
    <row r="17" spans="1:22" ht="12.75">
      <c r="A17" s="171">
        <v>1961</v>
      </c>
      <c r="B17" s="174">
        <v>8908.041418256866</v>
      </c>
      <c r="C17" s="174">
        <v>8952.939742336297</v>
      </c>
      <c r="D17" s="174">
        <v>11755.290446885829</v>
      </c>
      <c r="E17" s="174">
        <v>8324.66138715024</v>
      </c>
      <c r="F17" s="174">
        <v>9217.549444894925</v>
      </c>
      <c r="G17" s="174">
        <v>4411.6074111291355</v>
      </c>
      <c r="H17" s="174">
        <v>5812.407546475618</v>
      </c>
      <c r="I17" s="174">
        <v>8355.565923430977</v>
      </c>
      <c r="J17" s="174">
        <v>13988.858420519926</v>
      </c>
      <c r="K17" s="174">
        <v>10308.909554132591</v>
      </c>
      <c r="L17" s="174">
        <v>3884.7169537994437</v>
      </c>
      <c r="M17" s="174">
        <v>4378.415380799646</v>
      </c>
      <c r="N17" s="174">
        <v>11139.668666517378</v>
      </c>
      <c r="O17" s="174">
        <v>10677.288842544393</v>
      </c>
      <c r="P17" s="174">
        <f>(B17*pop_oecd_long_past!B17+C17*pop_oecd_long_past!C17+D17*pop_oecd_long_past!D17+E17*pop_oecd_long_past!E17+F17*pop_oecd_long_past!F17+G17*pop_oecd_long_past!G17+H17*pop_oecd_long_past!H17+I17*pop_oecd_long_past!I17+J17*pop_oecd_long_past!J17+K17*pop_oecd_long_past!K17+L17*pop_oecd_long_past!L17+M17*pop_oecd_long_past!M17+N17*pop_oecd_long_past!N17+O17*pop_oecd_long_past!O17)/SUM(pop_oecd_long_past!B17:O17)</f>
        <v>8474.699071344083</v>
      </c>
      <c r="Q17" s="174">
        <v>13652.583647352678</v>
      </c>
      <c r="R17" s="174">
        <v>5338.377702196948</v>
      </c>
      <c r="T17" s="188">
        <f t="shared" si="2"/>
        <v>0.04858687583715566</v>
      </c>
      <c r="U17" s="188">
        <f t="shared" si="0"/>
        <v>0.006466794060925972</v>
      </c>
      <c r="V17" s="188">
        <f t="shared" si="1"/>
        <v>0.11034477192332894</v>
      </c>
    </row>
    <row r="18" spans="1:27" ht="12.75">
      <c r="A18" s="171">
        <v>1962</v>
      </c>
      <c r="B18" s="174">
        <v>9068.097968147165</v>
      </c>
      <c r="C18" s="174">
        <v>9360.619057257394</v>
      </c>
      <c r="D18" s="174">
        <v>12305.057819721458</v>
      </c>
      <c r="E18" s="174">
        <v>8526.026617331207</v>
      </c>
      <c r="F18" s="174">
        <v>9635.301608356698</v>
      </c>
      <c r="G18" s="174">
        <v>4550.093358061684</v>
      </c>
      <c r="H18" s="174">
        <v>5976.980337316138</v>
      </c>
      <c r="I18" s="174">
        <v>8950.367604614172</v>
      </c>
      <c r="J18" s="174">
        <v>14075.321392341455</v>
      </c>
      <c r="K18" s="174">
        <v>10859.205061476941</v>
      </c>
      <c r="L18" s="174">
        <v>4147.8306311872275</v>
      </c>
      <c r="M18" s="174">
        <v>4841.598131562621</v>
      </c>
      <c r="N18" s="174">
        <v>11544.204090595262</v>
      </c>
      <c r="O18" s="174">
        <v>10687.797081541468</v>
      </c>
      <c r="P18" s="174">
        <f>(B18*pop_oecd_long_past!B18+C18*pop_oecd_long_past!C18+D18*pop_oecd_long_past!D18+E18*pop_oecd_long_past!E18+F18*pop_oecd_long_past!F18+G18*pop_oecd_long_past!G18+H18*pop_oecd_long_past!H18+I18*pop_oecd_long_past!I18+J18*pop_oecd_long_past!J18+K18*pop_oecd_long_past!K18+L18*pop_oecd_long_past!L18+M18*pop_oecd_long_past!M18+N18*pop_oecd_long_past!N18+O18*pop_oecd_long_past!O18)/SUM(pop_oecd_long_past!B18:O18)</f>
        <v>8829.540894163798</v>
      </c>
      <c r="Q18" s="174">
        <v>14255.181765458809</v>
      </c>
      <c r="R18" s="174">
        <v>5760.747907563481</v>
      </c>
      <c r="T18" s="188">
        <f t="shared" si="2"/>
        <v>0.04187072836834517</v>
      </c>
      <c r="U18" s="188">
        <f t="shared" si="0"/>
        <v>0.044138027912612586</v>
      </c>
      <c r="V18" s="188">
        <f t="shared" si="1"/>
        <v>0.07911958069072395</v>
      </c>
      <c r="X18" s="188">
        <f>AVERAGE(T7:T18)</f>
        <v>0.03602746815432486</v>
      </c>
      <c r="Y18" s="188">
        <f aca="true" t="shared" si="3" ref="Y18:Y58">AVERAGE(U7:U18)</f>
        <v>0.018828223950704704</v>
      </c>
      <c r="Z18" s="188"/>
      <c r="AA18" s="188"/>
    </row>
    <row r="19" spans="1:27" ht="12.75">
      <c r="A19" s="171">
        <v>1963</v>
      </c>
      <c r="B19" s="174">
        <v>9376.800266425531</v>
      </c>
      <c r="C19" s="174">
        <v>9705.469016335393</v>
      </c>
      <c r="D19" s="174">
        <v>12285.237887937155</v>
      </c>
      <c r="E19" s="174">
        <v>8744.871422242246</v>
      </c>
      <c r="F19" s="174">
        <v>9990.831512367273</v>
      </c>
      <c r="G19" s="174">
        <v>4994.056892227251</v>
      </c>
      <c r="H19" s="174">
        <v>6215.955650583622</v>
      </c>
      <c r="I19" s="174">
        <v>9521.408099072498</v>
      </c>
      <c r="J19" s="174">
        <v>14460.973764178914</v>
      </c>
      <c r="K19" s="174">
        <v>11101.679950029113</v>
      </c>
      <c r="L19" s="174">
        <v>4364.12059799382</v>
      </c>
      <c r="M19" s="174">
        <v>5289.93932016833</v>
      </c>
      <c r="N19" s="174">
        <v>12090.490184338798</v>
      </c>
      <c r="O19" s="174">
        <v>11029.937652039041</v>
      </c>
      <c r="P19" s="174">
        <f>(B19*pop_oecd_long_past!B19+C19*pop_oecd_long_past!C19+D19*pop_oecd_long_past!D19+E19*pop_oecd_long_past!E19+F19*pop_oecd_long_past!F19+G19*pop_oecd_long_past!G19+H19*pop_oecd_long_past!H19+I19*pop_oecd_long_past!I19+J19*pop_oecd_long_past!J19+K19*pop_oecd_long_past!K19+L19*pop_oecd_long_past!L19+M19*pop_oecd_long_past!M19+N19*pop_oecd_long_past!N19+O19*pop_oecd_long_past!O19)/SUM(pop_oecd_long_past!B19:O19)</f>
        <v>9224.854639465588</v>
      </c>
      <c r="Q19" s="174">
        <v>14659.136170151405</v>
      </c>
      <c r="R19" s="174">
        <v>6185.445238555655</v>
      </c>
      <c r="T19" s="188">
        <f t="shared" si="2"/>
        <v>0.04477172143379353</v>
      </c>
      <c r="U19" s="188">
        <f t="shared" si="0"/>
        <v>0.028337373127812603</v>
      </c>
      <c r="V19" s="188">
        <f t="shared" si="1"/>
        <v>0.07372260300343547</v>
      </c>
      <c r="X19" s="188">
        <f aca="true" t="shared" si="4" ref="X19:X58">AVERAGE(T8:T19)</f>
        <v>0.03610021206502349</v>
      </c>
      <c r="Y19" s="188">
        <f t="shared" si="3"/>
        <v>0.01635337244440497</v>
      </c>
      <c r="Z19" s="188"/>
      <c r="AA19" s="188"/>
    </row>
    <row r="20" spans="1:27" ht="12.75">
      <c r="A20" s="171">
        <v>1964</v>
      </c>
      <c r="B20" s="174">
        <v>9873.554659021776</v>
      </c>
      <c r="C20" s="174">
        <v>10295.89914299267</v>
      </c>
      <c r="D20" s="174">
        <v>13330.396577984136</v>
      </c>
      <c r="E20" s="174">
        <v>9135.901342524367</v>
      </c>
      <c r="F20" s="174">
        <v>10539.60387131716</v>
      </c>
      <c r="G20" s="174">
        <v>5384.852291841905</v>
      </c>
      <c r="H20" s="174">
        <v>6427.753412031401</v>
      </c>
      <c r="I20" s="174">
        <v>9815.943721773268</v>
      </c>
      <c r="J20" s="174">
        <v>15467.754730054932</v>
      </c>
      <c r="K20" s="174">
        <v>11862.110070784098</v>
      </c>
      <c r="L20" s="174">
        <v>4630.978544032308</v>
      </c>
      <c r="M20" s="174">
        <v>5753.214060322727</v>
      </c>
      <c r="N20" s="174">
        <v>12820.198796509489</v>
      </c>
      <c r="O20" s="174">
        <v>11534.805293052792</v>
      </c>
      <c r="P20" s="174">
        <f>(B20*pop_oecd_long_past!B20+C20*pop_oecd_long_past!C20+D20*pop_oecd_long_past!D20+E20*pop_oecd_long_past!E20+F20*pop_oecd_long_past!F20+G20*pop_oecd_long_past!G20+H20*pop_oecd_long_past!H20+I20*pop_oecd_long_past!I20+J20*pop_oecd_long_past!J20+K20*pop_oecd_long_past!K20+L20*pop_oecd_long_past!L20+M20*pop_oecd_long_past!M20+N20*pop_oecd_long_past!N20+O20*pop_oecd_long_past!O20)/SUM(pop_oecd_long_past!B20:O20)</f>
        <v>9705.717413725302</v>
      </c>
      <c r="Q20" s="174">
        <v>15294.035534827519</v>
      </c>
      <c r="R20" s="174">
        <v>6835.589410264838</v>
      </c>
      <c r="T20" s="188">
        <f t="shared" si="2"/>
        <v>0.052126867365746565</v>
      </c>
      <c r="U20" s="188">
        <f t="shared" si="0"/>
        <v>0.04331083068652307</v>
      </c>
      <c r="V20" s="188">
        <f t="shared" si="1"/>
        <v>0.1051087103086206</v>
      </c>
      <c r="X20" s="188">
        <f t="shared" si="4"/>
        <v>0.03884545149642312</v>
      </c>
      <c r="Y20" s="188">
        <f t="shared" si="3"/>
        <v>0.01832087394105529</v>
      </c>
      <c r="Z20" s="188"/>
      <c r="AA20" s="188"/>
    </row>
    <row r="21" spans="1:27" ht="12.75">
      <c r="A21" s="171">
        <v>1965</v>
      </c>
      <c r="B21" s="174">
        <v>10091.721398205684</v>
      </c>
      <c r="C21" s="174">
        <v>10565.767621166144</v>
      </c>
      <c r="D21" s="174">
        <v>13827.461923908077</v>
      </c>
      <c r="E21" s="174">
        <v>9589.607799238722</v>
      </c>
      <c r="F21" s="174">
        <v>10956.069075060052</v>
      </c>
      <c r="G21" s="174">
        <v>5863.103047505339</v>
      </c>
      <c r="H21" s="174">
        <v>6512.554595636318</v>
      </c>
      <c r="I21" s="174">
        <v>9961.967739753287</v>
      </c>
      <c r="J21" s="174">
        <v>15652.294125677048</v>
      </c>
      <c r="K21" s="174">
        <v>12315.418421389635</v>
      </c>
      <c r="L21" s="174">
        <v>4972.236688736099</v>
      </c>
      <c r="M21" s="174">
        <v>6068.336998620218</v>
      </c>
      <c r="N21" s="174">
        <v>13185.716629907158</v>
      </c>
      <c r="O21" s="174">
        <v>11756.112465541722</v>
      </c>
      <c r="P21" s="174">
        <f>(B21*pop_oecd_long_past!B21+C21*pop_oecd_long_past!C21+D21*pop_oecd_long_past!D21+E21*pop_oecd_long_past!E21+F21*pop_oecd_long_past!F21+G21*pop_oecd_long_past!G21+H21*pop_oecd_long_past!H21+I21*pop_oecd_long_past!I21+J21*pop_oecd_long_past!J21+K21*pop_oecd_long_past!K21+L21*pop_oecd_long_past!L21+M21*pop_oecd_long_past!M21+N21*pop_oecd_long_past!N21+O21*pop_oecd_long_past!O21)/SUM(pop_oecd_long_past!B21:O21)</f>
        <v>9999.840755869469</v>
      </c>
      <c r="Q21" s="174">
        <v>16067.726248416633</v>
      </c>
      <c r="R21" s="174">
        <v>7156.41773163243</v>
      </c>
      <c r="T21" s="188">
        <f t="shared" si="2"/>
        <v>0.030304132049860964</v>
      </c>
      <c r="U21" s="188">
        <f t="shared" si="0"/>
        <v>0.050587741334016695</v>
      </c>
      <c r="V21" s="188">
        <f t="shared" si="1"/>
        <v>0.04693499011011577</v>
      </c>
      <c r="X21" s="188">
        <f t="shared" si="4"/>
        <v>0.03825135657193854</v>
      </c>
      <c r="Y21" s="188">
        <f t="shared" si="3"/>
        <v>0.020136715312382213</v>
      </c>
      <c r="Z21" s="188"/>
      <c r="AA21" s="188"/>
    </row>
    <row r="22" spans="1:27" ht="12.75">
      <c r="A22" s="171">
        <v>1966</v>
      </c>
      <c r="B22" s="174">
        <v>10585.205281956933</v>
      </c>
      <c r="C22" s="174">
        <v>10833.089987691628</v>
      </c>
      <c r="D22" s="174">
        <v>14088.082939191492</v>
      </c>
      <c r="E22" s="174">
        <v>9783.282583290718</v>
      </c>
      <c r="F22" s="174">
        <v>11411.464047247287</v>
      </c>
      <c r="G22" s="174">
        <v>6175.366496861713</v>
      </c>
      <c r="H22" s="174">
        <v>6549.921296314919</v>
      </c>
      <c r="I22" s="174">
        <v>10412.953194294965</v>
      </c>
      <c r="J22" s="174">
        <v>15721.281427155265</v>
      </c>
      <c r="K22" s="174">
        <v>12489.397656387886</v>
      </c>
      <c r="L22" s="174">
        <v>5185.94874568885</v>
      </c>
      <c r="M22" s="174">
        <v>6447.453076965804</v>
      </c>
      <c r="N22" s="174">
        <v>13332.541581366811</v>
      </c>
      <c r="O22" s="174">
        <v>11917.385456201155</v>
      </c>
      <c r="P22" s="174">
        <f>(B22*pop_oecd_long_past!B22+C22*pop_oecd_long_past!C22+D22*pop_oecd_long_past!D22+E22*pop_oecd_long_past!E22+F22*pop_oecd_long_past!F22+G22*pop_oecd_long_past!G22+H22*pop_oecd_long_past!H22+I22*pop_oecd_long_past!I22+J22*pop_oecd_long_past!J22+K22*pop_oecd_long_past!K22+L22*pop_oecd_long_past!L22+M22*pop_oecd_long_past!M22+N22*pop_oecd_long_past!N22+O22*pop_oecd_long_past!O22)/SUM(pop_oecd_long_past!B22:O22)</f>
        <v>10326.287383626568</v>
      </c>
      <c r="Q22" s="174">
        <v>16923.66683743052</v>
      </c>
      <c r="R22" s="174">
        <v>7846.081042065177</v>
      </c>
      <c r="T22" s="188">
        <f t="shared" si="2"/>
        <v>0.03264518263108233</v>
      </c>
      <c r="U22" s="188">
        <f t="shared" si="0"/>
        <v>0.05327079735990854</v>
      </c>
      <c r="V22" s="188">
        <f t="shared" si="1"/>
        <v>0.09636990688572192</v>
      </c>
      <c r="X22" s="188">
        <f t="shared" si="4"/>
        <v>0.037409208688645675</v>
      </c>
      <c r="Y22" s="188">
        <f t="shared" si="3"/>
        <v>0.026566502473126516</v>
      </c>
      <c r="Z22" s="188"/>
      <c r="AA22" s="188"/>
    </row>
    <row r="23" spans="1:27" ht="12.75">
      <c r="A23" s="171">
        <v>1967</v>
      </c>
      <c r="B23" s="174">
        <v>10825.825614101243</v>
      </c>
      <c r="C23" s="174">
        <v>11198.330471678233</v>
      </c>
      <c r="D23" s="174">
        <v>14437.442346892523</v>
      </c>
      <c r="E23" s="174">
        <v>9935.950254489893</v>
      </c>
      <c r="F23" s="174">
        <v>11848.56872554993</v>
      </c>
      <c r="G23" s="174">
        <v>6437.45360700345</v>
      </c>
      <c r="H23" s="174">
        <v>6899.873890960739</v>
      </c>
      <c r="I23" s="174">
        <v>11083.287611199228</v>
      </c>
      <c r="J23" s="174">
        <v>15644.236779728793</v>
      </c>
      <c r="K23" s="174">
        <v>12998.475663754316</v>
      </c>
      <c r="L23" s="174">
        <v>5580.9540936784215</v>
      </c>
      <c r="M23" s="174">
        <v>6797.055735001298</v>
      </c>
      <c r="N23" s="174">
        <v>13678.311005713414</v>
      </c>
      <c r="O23" s="174">
        <v>12114.592875245004</v>
      </c>
      <c r="P23" s="174">
        <f>(B23*pop_oecd_long_past!B23+C23*pop_oecd_long_past!C23+D23*pop_oecd_long_past!D23+E23*pop_oecd_long_past!E23+F23*pop_oecd_long_past!F23+G23*pop_oecd_long_past!G23+H23*pop_oecd_long_past!H23+I23*pop_oecd_long_past!I23+J23*pop_oecd_long_past!J23+K23*pop_oecd_long_past!K23+L23*pop_oecd_long_past!L23+M23*pop_oecd_long_past!M23+N23*pop_oecd_long_past!N23+O23*pop_oecd_long_past!O23)/SUM(pop_oecd_long_past!B23:O23)</f>
        <v>10723.949271311316</v>
      </c>
      <c r="Q23" s="174">
        <v>17158.962943024104</v>
      </c>
      <c r="R23" s="174">
        <v>8626.114068885023</v>
      </c>
      <c r="T23" s="188">
        <f t="shared" si="2"/>
        <v>0.038509666922042406</v>
      </c>
      <c r="U23" s="188">
        <f t="shared" si="0"/>
        <v>0.01390337613318966</v>
      </c>
      <c r="V23" s="188">
        <f t="shared" si="1"/>
        <v>0.09941689649110894</v>
      </c>
      <c r="X23" s="188">
        <f t="shared" si="4"/>
        <v>0.0371025044804992</v>
      </c>
      <c r="Y23" s="188">
        <f t="shared" si="3"/>
        <v>0.023399243285525204</v>
      </c>
      <c r="Z23" s="188"/>
      <c r="AA23" s="188"/>
    </row>
    <row r="24" spans="1:27" ht="12.75">
      <c r="A24" s="171">
        <v>1968</v>
      </c>
      <c r="B24" s="174">
        <v>11248.374543792306</v>
      </c>
      <c r="C24" s="174">
        <v>11622.582185801737</v>
      </c>
      <c r="D24" s="174">
        <v>14942.69744260485</v>
      </c>
      <c r="E24" s="174">
        <v>10118.997778240027</v>
      </c>
      <c r="F24" s="174">
        <v>12281.568549951655</v>
      </c>
      <c r="G24" s="174">
        <v>6847.240823721076</v>
      </c>
      <c r="H24" s="174">
        <v>7438.428048120404</v>
      </c>
      <c r="I24" s="174">
        <v>11937.646052201422</v>
      </c>
      <c r="J24" s="174">
        <v>16181.0193738356</v>
      </c>
      <c r="K24" s="174">
        <v>13693.673279164332</v>
      </c>
      <c r="L24" s="174">
        <v>6069.42109541891</v>
      </c>
      <c r="M24" s="174">
        <v>7120.799227496945</v>
      </c>
      <c r="N24" s="174">
        <v>14095.298535781512</v>
      </c>
      <c r="O24" s="174">
        <v>12549.873488584279</v>
      </c>
      <c r="P24" s="174">
        <f>(B24*pop_oecd_long_past!B24+C24*pop_oecd_long_past!C24+D24*pop_oecd_long_past!D24+E24*pop_oecd_long_past!E24+F24*pop_oecd_long_past!F24+G24*pop_oecd_long_past!G24+H24*pop_oecd_long_past!H24+I24*pop_oecd_long_past!I24+J24*pop_oecd_long_past!J24+K24*pop_oecd_long_past!K24+L24*pop_oecd_long_past!L24+M24*pop_oecd_long_past!M24+N24*pop_oecd_long_past!N24+O24*pop_oecd_long_past!O24)/SUM(pop_oecd_long_past!B24:O24)</f>
        <v>11239.343731717909</v>
      </c>
      <c r="Q24" s="174">
        <v>17797.07436032212</v>
      </c>
      <c r="R24" s="174">
        <v>9628.31836277466</v>
      </c>
      <c r="T24" s="188">
        <f t="shared" si="2"/>
        <v>0.0480601359972277</v>
      </c>
      <c r="U24" s="188">
        <f t="shared" si="0"/>
        <v>0.0371882274830273</v>
      </c>
      <c r="V24" s="188">
        <f t="shared" si="1"/>
        <v>0.11618259228737261</v>
      </c>
      <c r="X24" s="188">
        <f t="shared" si="4"/>
        <v>0.03862146159715726</v>
      </c>
      <c r="Y24" s="188">
        <f t="shared" si="3"/>
        <v>0.026364986435767245</v>
      </c>
      <c r="Z24" s="188"/>
      <c r="AA24" s="188"/>
    </row>
    <row r="25" spans="1:27" ht="12.75">
      <c r="A25" s="171">
        <v>1969</v>
      </c>
      <c r="B25" s="174">
        <v>11914.52626183679</v>
      </c>
      <c r="C25" s="174">
        <v>12366.534425967544</v>
      </c>
      <c r="D25" s="174">
        <v>15818.553803240913</v>
      </c>
      <c r="E25" s="174">
        <v>11099.987456178551</v>
      </c>
      <c r="F25" s="174">
        <v>13023.449409877756</v>
      </c>
      <c r="G25" s="174">
        <v>7497.866196171916</v>
      </c>
      <c r="H25" s="174">
        <v>7850.644414593771</v>
      </c>
      <c r="I25" s="174">
        <v>12542.079135293701</v>
      </c>
      <c r="J25" s="174">
        <v>17639.05129302391</v>
      </c>
      <c r="K25" s="174">
        <v>14407.357662400855</v>
      </c>
      <c r="L25" s="174">
        <v>6210.428884967594</v>
      </c>
      <c r="M25" s="174">
        <v>7686.4022893009615</v>
      </c>
      <c r="N25" s="174">
        <v>14697.526138849284</v>
      </c>
      <c r="O25" s="174">
        <v>12720.743775753786</v>
      </c>
      <c r="P25" s="174">
        <f>(B25*pop_oecd_long_past!B25+C25*pop_oecd_long_past!C25+D25*pop_oecd_long_past!D25+E25*pop_oecd_long_past!E25+F25*pop_oecd_long_past!F25+G25*pop_oecd_long_past!G25+H25*pop_oecd_long_past!H25+I25*pop_oecd_long_past!I25+J25*pop_oecd_long_past!J25+K25*pop_oecd_long_past!K25+L25*pop_oecd_long_past!L25+M25*pop_oecd_long_past!M25+N25*pop_oecd_long_past!N25+O25*pop_oecd_long_past!O25)/SUM(pop_oecd_long_past!B25:O25)</f>
        <v>11782.255625716529</v>
      </c>
      <c r="Q25" s="174">
        <v>18176.01936215936</v>
      </c>
      <c r="R25" s="174">
        <v>10702.659861439482</v>
      </c>
      <c r="T25" s="188">
        <f t="shared" si="2"/>
        <v>0.04830459028194854</v>
      </c>
      <c r="U25" s="188">
        <f t="shared" si="0"/>
        <v>0.021292544727580836</v>
      </c>
      <c r="V25" s="188">
        <f t="shared" si="1"/>
        <v>0.11158142659869648</v>
      </c>
      <c r="X25" s="188">
        <f t="shared" si="4"/>
        <v>0.03988949000346222</v>
      </c>
      <c r="Y25" s="188">
        <f t="shared" si="3"/>
        <v>0.02809580922937219</v>
      </c>
      <c r="Z25" s="188"/>
      <c r="AA25" s="188"/>
    </row>
    <row r="26" spans="1:27" ht="12.75">
      <c r="A26" s="171">
        <v>1970</v>
      </c>
      <c r="B26" s="174">
        <v>12718.75271528194</v>
      </c>
      <c r="C26" s="174">
        <v>13098.066947081708</v>
      </c>
      <c r="D26" s="174">
        <v>16014.22682295722</v>
      </c>
      <c r="E26" s="174">
        <v>11974.342543565424</v>
      </c>
      <c r="F26" s="174">
        <v>13652.138448139938</v>
      </c>
      <c r="G26" s="174">
        <v>8075.866117393842</v>
      </c>
      <c r="H26" s="174">
        <v>7992.592109614433</v>
      </c>
      <c r="I26" s="174">
        <v>12741.523998253817</v>
      </c>
      <c r="J26" s="174">
        <v>17809.30327880664</v>
      </c>
      <c r="K26" s="174">
        <v>15049.565748785071</v>
      </c>
      <c r="L26" s="174">
        <v>6816.092691335598</v>
      </c>
      <c r="M26" s="174">
        <v>8052.233480251341</v>
      </c>
      <c r="N26" s="174">
        <v>15503.584013554786</v>
      </c>
      <c r="O26" s="174">
        <v>12980.889053791925</v>
      </c>
      <c r="P26" s="174">
        <f>(B26*pop_oecd_long_past!B26+C26*pop_oecd_long_past!C26+D26*pop_oecd_long_past!D26+E26*pop_oecd_long_past!E26+F26*pop_oecd_long_past!F26+G26*pop_oecd_long_past!G26+H26*pop_oecd_long_past!H26+I26*pop_oecd_long_past!I26+J26*pop_oecd_long_past!J26+K26*pop_oecd_long_past!K26+L26*pop_oecd_long_past!L26+M26*pop_oecd_long_past!M26+N26*pop_oecd_long_past!N26+O26*pop_oecd_long_past!O26)/SUM(pop_oecd_long_past!B26:O26)</f>
        <v>12216.314220412421</v>
      </c>
      <c r="Q26" s="174">
        <v>17996.93126518412</v>
      </c>
      <c r="R26" s="174">
        <v>11715.598378364139</v>
      </c>
      <c r="T26" s="188">
        <f t="shared" si="2"/>
        <v>0.036840025245123274</v>
      </c>
      <c r="U26" s="188">
        <f t="shared" si="0"/>
        <v>-0.009852987797101665</v>
      </c>
      <c r="V26" s="188">
        <f t="shared" si="1"/>
        <v>0.09464362411199885</v>
      </c>
      <c r="X26" s="188">
        <f t="shared" si="4"/>
        <v>0.04190599914746653</v>
      </c>
      <c r="Y26" s="188">
        <f t="shared" si="3"/>
        <v>0.029483663735184476</v>
      </c>
      <c r="Z26" s="188"/>
      <c r="AA26" s="188"/>
    </row>
    <row r="27" spans="1:27" ht="12.75">
      <c r="A27" s="171">
        <v>1971</v>
      </c>
      <c r="B27" s="174">
        <v>13309.45013561452</v>
      </c>
      <c r="C27" s="174">
        <v>13540.884011621181</v>
      </c>
      <c r="D27" s="174">
        <v>16327.341199674735</v>
      </c>
      <c r="E27" s="174">
        <v>12209.192844859825</v>
      </c>
      <c r="F27" s="174">
        <v>14173.788916080384</v>
      </c>
      <c r="G27" s="174">
        <v>8613.246820175678</v>
      </c>
      <c r="H27" s="174">
        <v>8191.359291358514</v>
      </c>
      <c r="I27" s="174">
        <v>12900.095868938586</v>
      </c>
      <c r="J27" s="174">
        <v>18152.23375884454</v>
      </c>
      <c r="K27" s="174">
        <v>15527.254080245943</v>
      </c>
      <c r="L27" s="174">
        <v>7311.629528946387</v>
      </c>
      <c r="M27" s="174">
        <v>8433.668206699314</v>
      </c>
      <c r="N27" s="174">
        <v>15542.715226695937</v>
      </c>
      <c r="O27" s="174">
        <v>13190.660134775657</v>
      </c>
      <c r="P27" s="174">
        <f>(B27*pop_oecd_long_past!B27+C27*pop_oecd_long_past!C27+D27*pop_oecd_long_past!D27+E27*pop_oecd_long_past!E27+F27*pop_oecd_long_past!F27+G27*pop_oecd_long_past!G27+H27*pop_oecd_long_past!H27+I27*pop_oecd_long_past!I27+J27*pop_oecd_long_past!J27+K27*pop_oecd_long_past!K27+L27*pop_oecd_long_past!L27+M27*pop_oecd_long_past!M27+N27*pop_oecd_long_past!N27+O27*pop_oecd_long_past!O27)/SUM(pop_oecd_long_past!B27:O27)</f>
        <v>12551.155894382395</v>
      </c>
      <c r="Q27" s="174">
        <v>18325.564516992243</v>
      </c>
      <c r="R27" s="174">
        <v>12109.2018208453</v>
      </c>
      <c r="T27" s="188">
        <f t="shared" si="2"/>
        <v>0.027409386164157543</v>
      </c>
      <c r="U27" s="188">
        <f t="shared" si="0"/>
        <v>0.01826051602718946</v>
      </c>
      <c r="V27" s="188">
        <f t="shared" si="1"/>
        <v>0.033596529154503146</v>
      </c>
      <c r="X27" s="188">
        <f t="shared" si="4"/>
        <v>0.04163656271490672</v>
      </c>
      <c r="Y27" s="188">
        <f t="shared" si="3"/>
        <v>0.02630475043677454</v>
      </c>
      <c r="Z27" s="188"/>
      <c r="AA27" s="188"/>
    </row>
    <row r="28" spans="1:27" ht="12.75">
      <c r="A28" s="171">
        <v>1972</v>
      </c>
      <c r="B28" s="174">
        <v>14053.871527964406</v>
      </c>
      <c r="C28" s="174">
        <v>14198.767089707871</v>
      </c>
      <c r="D28" s="174">
        <v>17090.805605124267</v>
      </c>
      <c r="E28" s="174">
        <v>13062.976390658234</v>
      </c>
      <c r="F28" s="174">
        <v>14676.059473039011</v>
      </c>
      <c r="G28" s="174">
        <v>9622.291378161588</v>
      </c>
      <c r="H28" s="174">
        <v>8589.973048968963</v>
      </c>
      <c r="I28" s="174">
        <v>13189.607390340963</v>
      </c>
      <c r="J28" s="174">
        <v>19208.317237360854</v>
      </c>
      <c r="K28" s="174">
        <v>15845.720609380684</v>
      </c>
      <c r="L28" s="174">
        <v>7915.20965830488</v>
      </c>
      <c r="M28" s="174">
        <v>9046.35946156617</v>
      </c>
      <c r="N28" s="174">
        <v>15851.551155044923</v>
      </c>
      <c r="O28" s="174">
        <v>13615.562067296218</v>
      </c>
      <c r="P28" s="174">
        <f>(B28*pop_oecd_long_past!B28+C28*pop_oecd_long_past!C28+D28*pop_oecd_long_past!D28+E28*pop_oecd_long_past!E28+F28*pop_oecd_long_past!F28+G28*pop_oecd_long_past!G28+H28*pop_oecd_long_past!H28+I28*pop_oecd_long_past!I28+J28*pop_oecd_long_past!J28+K28*pop_oecd_long_past!K28+L28*pop_oecd_long_past!L28+M28*pop_oecd_long_past!M28+N28*pop_oecd_long_past!N28+O28*pop_oecd_long_past!O28)/SUM(pop_oecd_long_past!B28:O28)</f>
        <v>13036.282674113934</v>
      </c>
      <c r="Q28" s="174">
        <v>19091.39220230742</v>
      </c>
      <c r="R28" s="174">
        <v>12945.390482200008</v>
      </c>
      <c r="T28" s="188">
        <f t="shared" si="2"/>
        <v>0.03865196033049601</v>
      </c>
      <c r="U28" s="188">
        <f t="shared" si="0"/>
        <v>0.04179012791693639</v>
      </c>
      <c r="V28" s="188">
        <f t="shared" si="1"/>
        <v>0.06905398668930082</v>
      </c>
      <c r="X28" s="188">
        <f t="shared" si="4"/>
        <v>0.040673439385581635</v>
      </c>
      <c r="Y28" s="188">
        <f t="shared" si="3"/>
        <v>0.02905778074771846</v>
      </c>
      <c r="Z28" s="188"/>
      <c r="AA28" s="188"/>
    </row>
    <row r="29" spans="1:27" ht="12.75">
      <c r="A29" s="171">
        <v>1973</v>
      </c>
      <c r="B29" s="174">
        <v>14659.243876775403</v>
      </c>
      <c r="C29" s="174">
        <v>15022.681827813141</v>
      </c>
      <c r="D29" s="174">
        <v>17604.693547332387</v>
      </c>
      <c r="E29" s="174">
        <v>13860.150547496609</v>
      </c>
      <c r="F29" s="174">
        <v>15348.556353225702</v>
      </c>
      <c r="G29" s="174">
        <v>9954.413101711978</v>
      </c>
      <c r="H29" s="174">
        <v>8852.945731995569</v>
      </c>
      <c r="I29" s="174">
        <v>13941.862876001886</v>
      </c>
      <c r="J29" s="174">
        <v>20654.33548095037</v>
      </c>
      <c r="K29" s="174">
        <v>16510.95431815523</v>
      </c>
      <c r="L29" s="174">
        <v>8796.426464534741</v>
      </c>
      <c r="M29" s="174">
        <v>9762.55900972074</v>
      </c>
      <c r="N29" s="174">
        <v>16451.15537232113</v>
      </c>
      <c r="O29" s="174">
        <v>14497.258846613733</v>
      </c>
      <c r="P29" s="174">
        <f>(B29*pop_oecd_long_past!B29+C29*pop_oecd_long_past!C29+D29*pop_oecd_long_past!D29+E29*pop_oecd_long_past!E29+F29*pop_oecd_long_past!F29+G29*pop_oecd_long_past!G29+H29*pop_oecd_long_past!H29+I29*pop_oecd_long_past!I29+J29*pop_oecd_long_past!J29+K29*pop_oecd_long_past!K29+L29*pop_oecd_long_past!L29+M29*pop_oecd_long_past!M29+N29*pop_oecd_long_past!N29+O29*pop_oecd_long_past!O29)/SUM(pop_oecd_long_past!B29:O29)</f>
        <v>13765.829280468997</v>
      </c>
      <c r="Q29" s="174">
        <v>19984.034319721435</v>
      </c>
      <c r="R29" s="174">
        <v>13789.817497909862</v>
      </c>
      <c r="T29" s="188">
        <f t="shared" si="2"/>
        <v>0.05596277900629749</v>
      </c>
      <c r="U29" s="188">
        <f t="shared" si="0"/>
        <v>0.04675626103926196</v>
      </c>
      <c r="V29" s="188">
        <f t="shared" si="1"/>
        <v>0.06522993778140156</v>
      </c>
      <c r="X29" s="188">
        <f t="shared" si="4"/>
        <v>0.04128809798301013</v>
      </c>
      <c r="Y29" s="188">
        <f t="shared" si="3"/>
        <v>0.03241523632924646</v>
      </c>
      <c r="Z29" s="188"/>
      <c r="AA29" s="188"/>
    </row>
    <row r="30" spans="1:27" ht="12.75">
      <c r="A30" s="171">
        <v>1974</v>
      </c>
      <c r="B30" s="174">
        <v>15211.430979944129</v>
      </c>
      <c r="C30" s="174">
        <v>15606.560203434829</v>
      </c>
      <c r="D30" s="174">
        <v>17359.528571191713</v>
      </c>
      <c r="E30" s="174">
        <v>14205.482713952006</v>
      </c>
      <c r="F30" s="174">
        <v>15694.309046225353</v>
      </c>
      <c r="G30" s="174">
        <v>9556.982717265015</v>
      </c>
      <c r="H30" s="174">
        <v>9079.412756739188</v>
      </c>
      <c r="I30" s="174">
        <v>14482.192811677667</v>
      </c>
      <c r="J30" s="174">
        <v>21423.411749761322</v>
      </c>
      <c r="K30" s="174">
        <v>17050.445540702556</v>
      </c>
      <c r="L30" s="174">
        <v>8777.377983974793</v>
      </c>
      <c r="M30" s="174">
        <v>10384.515153327828</v>
      </c>
      <c r="N30" s="174">
        <v>16927.896535894244</v>
      </c>
      <c r="O30" s="174">
        <v>14296.681100758431</v>
      </c>
      <c r="P30" s="174">
        <f>(B30*pop_oecd_long_past!B30+C30*pop_oecd_long_past!C30+D30*pop_oecd_long_past!D30+E30*pop_oecd_long_past!E30+F30*pop_oecd_long_past!F30+G30*pop_oecd_long_past!G30+H30*pop_oecd_long_past!H30+I30*pop_oecd_long_past!I30+J30*pop_oecd_long_past!J30+K30*pop_oecd_long_past!K30+L30*pop_oecd_long_past!L30+M30*pop_oecd_long_past!M30+N30*pop_oecd_long_past!N30+O30*pop_oecd_long_past!O30)/SUM(pop_oecd_long_past!B30:O30)</f>
        <v>14048.132719165658</v>
      </c>
      <c r="Q30" s="174">
        <v>19746.858772751195</v>
      </c>
      <c r="R30" s="174">
        <v>13440.989015547433</v>
      </c>
      <c r="T30" s="188">
        <f t="shared" si="2"/>
        <v>0.02050755046753297</v>
      </c>
      <c r="U30" s="188">
        <f t="shared" si="0"/>
        <v>-0.011868251584024818</v>
      </c>
      <c r="V30" s="188">
        <f t="shared" si="1"/>
        <v>-0.02529609129455856</v>
      </c>
      <c r="X30" s="188">
        <f t="shared" si="4"/>
        <v>0.039507833157942436</v>
      </c>
      <c r="Y30" s="188">
        <f t="shared" si="3"/>
        <v>0.027748046371193335</v>
      </c>
      <c r="Z30" s="188"/>
      <c r="AA30" s="188"/>
    </row>
    <row r="31" spans="1:27" ht="12.75">
      <c r="A31" s="171">
        <v>1975</v>
      </c>
      <c r="B31" s="174">
        <v>15196.578153675602</v>
      </c>
      <c r="C31" s="174">
        <v>15356.981970029887</v>
      </c>
      <c r="D31" s="174">
        <v>17195.294237949925</v>
      </c>
      <c r="E31" s="174">
        <v>14305.51825530333</v>
      </c>
      <c r="F31" s="174">
        <v>15509.487565342015</v>
      </c>
      <c r="G31" s="174">
        <v>10040.488354886023</v>
      </c>
      <c r="H31" s="174">
        <v>9432.44840512932</v>
      </c>
      <c r="I31" s="174">
        <v>14083.204509768113</v>
      </c>
      <c r="J31" s="174">
        <v>19911.55128668729</v>
      </c>
      <c r="K31" s="174">
        <v>16935.178205341585</v>
      </c>
      <c r="L31" s="174">
        <v>8116.697417171952</v>
      </c>
      <c r="M31" s="174">
        <v>10635.377390596133</v>
      </c>
      <c r="N31" s="174">
        <v>17292.14045291547</v>
      </c>
      <c r="O31" s="174">
        <v>14282.43542596702</v>
      </c>
      <c r="P31" s="174">
        <f>(B31*pop_oecd_long_past!B31+C31*pop_oecd_long_past!C31+D31*pop_oecd_long_past!D31+E31*pop_oecd_long_past!E31+F31*pop_oecd_long_past!F31+G31*pop_oecd_long_past!G31+H31*pop_oecd_long_past!H31+I31*pop_oecd_long_past!I31+J31*pop_oecd_long_past!J31+K31*pop_oecd_long_past!K31+L31*pop_oecd_long_past!L31+M31*pop_oecd_long_past!M31+N31*pop_oecd_long_past!N31+O31*pop_oecd_long_past!O31)/SUM(pop_oecd_long_past!B31:O31)</f>
        <v>13940.550402174249</v>
      </c>
      <c r="Q31" s="174">
        <v>19498.23147293941</v>
      </c>
      <c r="R31" s="174">
        <v>13681.286802763612</v>
      </c>
      <c r="T31" s="188">
        <f t="shared" si="2"/>
        <v>-0.007658122196171758</v>
      </c>
      <c r="U31" s="188">
        <f t="shared" si="0"/>
        <v>-0.012590726589631961</v>
      </c>
      <c r="V31" s="188">
        <f t="shared" si="1"/>
        <v>0.017877984048511784</v>
      </c>
      <c r="X31" s="188">
        <f t="shared" si="4"/>
        <v>0.035138679522112005</v>
      </c>
      <c r="Y31" s="188">
        <f t="shared" si="3"/>
        <v>0.024337371394739616</v>
      </c>
      <c r="Z31" s="188"/>
      <c r="AA31" s="188"/>
    </row>
    <row r="32" spans="1:27" ht="12.75">
      <c r="A32" s="171">
        <v>1976</v>
      </c>
      <c r="B32" s="174">
        <v>15920.230681434641</v>
      </c>
      <c r="C32" s="174">
        <v>16198.262855706027</v>
      </c>
      <c r="D32" s="174">
        <v>18262.317846154518</v>
      </c>
      <c r="E32" s="174">
        <v>14201.866397573407</v>
      </c>
      <c r="F32" s="174">
        <v>16120.271686547003</v>
      </c>
      <c r="G32" s="174">
        <v>10538.567409611242</v>
      </c>
      <c r="H32" s="174">
        <v>9414.685529041213</v>
      </c>
      <c r="I32" s="174">
        <v>14926.744638147342</v>
      </c>
      <c r="J32" s="174">
        <v>20310.50140440787</v>
      </c>
      <c r="K32" s="174">
        <v>17591.896801705545</v>
      </c>
      <c r="L32" s="174">
        <v>8486.579518432962</v>
      </c>
      <c r="M32" s="174">
        <v>10957.724005490714</v>
      </c>
      <c r="N32" s="174">
        <v>17411.968292218316</v>
      </c>
      <c r="O32" s="174">
        <v>14605.364214612815</v>
      </c>
      <c r="P32" s="174">
        <f>(B32*pop_oecd_long_past!B32+C32*pop_oecd_long_past!C32+D32*pop_oecd_long_past!D32+E32*pop_oecd_long_past!E32+F32*pop_oecd_long_past!F32+G32*pop_oecd_long_past!G32+H32*pop_oecd_long_past!H32+I32*pop_oecd_long_past!I32+J32*pop_oecd_long_past!J32+K32*pop_oecd_long_past!K32+L32*pop_oecd_long_past!L32+M32*pop_oecd_long_past!M32+N32*pop_oecd_long_past!N32+O32*pop_oecd_long_past!O32)/SUM(pop_oecd_long_past!B32:O32)</f>
        <v>14467.395522005054</v>
      </c>
      <c r="Q32" s="174">
        <v>20326.187268440965</v>
      </c>
      <c r="R32" s="174">
        <v>14073.447353074567</v>
      </c>
      <c r="T32" s="188">
        <f t="shared" si="2"/>
        <v>0.03779227538595858</v>
      </c>
      <c r="U32" s="188">
        <f t="shared" si="0"/>
        <v>0.042463122701698996</v>
      </c>
      <c r="V32" s="188">
        <f t="shared" si="1"/>
        <v>0.028664010627402293</v>
      </c>
      <c r="X32" s="188">
        <f t="shared" si="4"/>
        <v>0.033944130190463</v>
      </c>
      <c r="Y32" s="188">
        <f t="shared" si="3"/>
        <v>0.02426672906267095</v>
      </c>
      <c r="Z32" s="188">
        <f aca="true" t="shared" si="5" ref="Z32:Z58">AVERAGE(V21:V32)</f>
        <v>0.0628546494576313</v>
      </c>
      <c r="AA32" s="188"/>
    </row>
    <row r="33" spans="1:27" ht="12.75">
      <c r="A33" s="171">
        <v>1977</v>
      </c>
      <c r="B33" s="174">
        <v>16658.389188366637</v>
      </c>
      <c r="C33" s="174">
        <v>16281.749605084442</v>
      </c>
      <c r="D33" s="174">
        <v>18501.007408799614</v>
      </c>
      <c r="E33" s="174">
        <v>14197.0215136725</v>
      </c>
      <c r="F33" s="174">
        <v>16655.399336149418</v>
      </c>
      <c r="G33" s="174">
        <v>10734.404739736538</v>
      </c>
      <c r="H33" s="174">
        <v>10050.2475991179</v>
      </c>
      <c r="I33" s="174">
        <v>15297.619501749667</v>
      </c>
      <c r="J33" s="174">
        <v>20523.175945764207</v>
      </c>
      <c r="K33" s="174">
        <v>17894.795431391143</v>
      </c>
      <c r="L33" s="174">
        <v>8924.312702828425</v>
      </c>
      <c r="M33" s="174">
        <v>11255.639278981063</v>
      </c>
      <c r="N33" s="174">
        <v>17073.02914778658</v>
      </c>
      <c r="O33" s="174">
        <v>14929.25250000983</v>
      </c>
      <c r="P33" s="174">
        <f>(B33*pop_oecd_long_past!B33+C33*pop_oecd_long_past!C33+D33*pop_oecd_long_past!D33+E33*pop_oecd_long_past!E33+F33*pop_oecd_long_past!F33+G33*pop_oecd_long_past!G33+H33*pop_oecd_long_past!H33+I33*pop_oecd_long_past!I33+J33*pop_oecd_long_past!J33+K33*pop_oecd_long_past!K33+L33*pop_oecd_long_past!L33+M33*pop_oecd_long_past!M33+N33*pop_oecd_long_past!N33+O33*pop_oecd_long_past!O33)/SUM(pop_oecd_long_past!B33:O33)</f>
        <v>14810.055959475341</v>
      </c>
      <c r="Q33" s="174">
        <v>21034.356625012133</v>
      </c>
      <c r="R33" s="174">
        <v>14549.784854656273</v>
      </c>
      <c r="T33" s="188">
        <f t="shared" si="2"/>
        <v>0.023685012063788362</v>
      </c>
      <c r="U33" s="188">
        <f t="shared" si="0"/>
        <v>0.03484024560133287</v>
      </c>
      <c r="V33" s="188">
        <f t="shared" si="1"/>
        <v>0.03384654019952276</v>
      </c>
      <c r="X33" s="188">
        <f t="shared" si="4"/>
        <v>0.03339253685829029</v>
      </c>
      <c r="Y33" s="188">
        <f t="shared" si="3"/>
        <v>0.022954437751613963</v>
      </c>
      <c r="Z33" s="188">
        <f t="shared" si="5"/>
        <v>0.06176394529841522</v>
      </c>
      <c r="AA33" s="188"/>
    </row>
    <row r="34" spans="1:27" ht="12.75">
      <c r="A34" s="171">
        <v>1978</v>
      </c>
      <c r="B34" s="174">
        <v>16611.3185471134</v>
      </c>
      <c r="C34" s="174">
        <v>16731.04691745236</v>
      </c>
      <c r="D34" s="174">
        <v>18715.939662138764</v>
      </c>
      <c r="E34" s="174">
        <v>14452.555873988285</v>
      </c>
      <c r="F34" s="174">
        <v>17048.547456660846</v>
      </c>
      <c r="G34" s="174">
        <v>11305.718372802687</v>
      </c>
      <c r="H34" s="174">
        <v>10636.051554539768</v>
      </c>
      <c r="I34" s="174">
        <v>15816.895065813578</v>
      </c>
      <c r="J34" s="174">
        <v>21252.229303721186</v>
      </c>
      <c r="K34" s="174">
        <v>18206.566003976015</v>
      </c>
      <c r="L34" s="174">
        <v>9141.42242545192</v>
      </c>
      <c r="M34" s="174">
        <v>11497.664425090019</v>
      </c>
      <c r="N34" s="174">
        <v>17321.424010837094</v>
      </c>
      <c r="O34" s="174">
        <v>15464.790772066033</v>
      </c>
      <c r="P34" s="174">
        <f>(B34*pop_oecd_long_past!B34+C34*pop_oecd_long_past!C34+D34*pop_oecd_long_past!D34+E34*pop_oecd_long_past!E34+F34*pop_oecd_long_past!F34+G34*pop_oecd_long_past!G34+H34*pop_oecd_long_past!H34+I34*pop_oecd_long_past!I34+J34*pop_oecd_long_past!J34+K34*pop_oecd_long_past!K34+L34*pop_oecd_long_past!L34+M34*pop_oecd_long_past!M34+N34*pop_oecd_long_past!N34+O34*pop_oecd_long_past!O34)/SUM(pop_oecd_long_past!B34:O34)</f>
        <v>15210.58624024065</v>
      </c>
      <c r="Q34" s="174">
        <v>22000.033433666686</v>
      </c>
      <c r="R34" s="174">
        <v>15178.097685184543</v>
      </c>
      <c r="T34" s="188">
        <f t="shared" si="2"/>
        <v>0.027044481253904528</v>
      </c>
      <c r="U34" s="188">
        <f t="shared" si="0"/>
        <v>0.04590950062652537</v>
      </c>
      <c r="V34" s="188">
        <f t="shared" si="1"/>
        <v>0.043183650947745456</v>
      </c>
      <c r="X34" s="188">
        <f t="shared" si="4"/>
        <v>0.03292581174352547</v>
      </c>
      <c r="Y34" s="188">
        <f t="shared" si="3"/>
        <v>0.02234099635716537</v>
      </c>
      <c r="Z34" s="188">
        <f t="shared" si="5"/>
        <v>0.05733175730358384</v>
      </c>
      <c r="AA34" s="188"/>
    </row>
    <row r="35" spans="1:27" ht="12.75">
      <c r="A35" s="171">
        <v>1979</v>
      </c>
      <c r="B35" s="174">
        <v>17547.405559128412</v>
      </c>
      <c r="C35" s="174">
        <v>17109.6739732301</v>
      </c>
      <c r="D35" s="174">
        <v>19331.717652133677</v>
      </c>
      <c r="E35" s="174">
        <v>15418.62657724834</v>
      </c>
      <c r="F35" s="174">
        <v>17521.726252348097</v>
      </c>
      <c r="G35" s="174">
        <v>11577.739980365623</v>
      </c>
      <c r="H35" s="174">
        <v>10786.42541650222</v>
      </c>
      <c r="I35" s="174">
        <v>16676.338842655878</v>
      </c>
      <c r="J35" s="174">
        <v>21636.619646204534</v>
      </c>
      <c r="K35" s="174">
        <v>18487.99762524232</v>
      </c>
      <c r="L35" s="174">
        <v>9631.26205354858</v>
      </c>
      <c r="M35" s="174">
        <v>11555.122137252914</v>
      </c>
      <c r="N35" s="174">
        <v>17947.655787526648</v>
      </c>
      <c r="O35" s="174">
        <v>15874.017881789849</v>
      </c>
      <c r="P35" s="174">
        <f>(B35*pop_oecd_long_past!B35+C35*pop_oecd_long_past!C35+D35*pop_oecd_long_past!D35+E35*pop_oecd_long_past!E35+F35*pop_oecd_long_past!F35+G35*pop_oecd_long_past!G35+H35*pop_oecd_long_past!H35+I35*pop_oecd_long_past!I35+J35*pop_oecd_long_past!J35+K35*pop_oecd_long_past!K35+L35*pop_oecd_long_past!L35+M35*pop_oecd_long_past!M35+N35*pop_oecd_long_past!N35+O35*pop_oecd_long_past!O35)/SUM(pop_oecd_long_past!B35:O35)</f>
        <v>15693.887796013389</v>
      </c>
      <c r="Q35" s="174">
        <v>22498.661997282365</v>
      </c>
      <c r="R35" s="174">
        <v>15875.534679823399</v>
      </c>
      <c r="T35" s="188">
        <f t="shared" si="2"/>
        <v>0.03177402554637454</v>
      </c>
      <c r="U35" s="188">
        <f t="shared" si="0"/>
        <v>0.022664900265679914</v>
      </c>
      <c r="V35" s="188">
        <f t="shared" si="1"/>
        <v>0.04595022440260282</v>
      </c>
      <c r="X35" s="188">
        <f t="shared" si="4"/>
        <v>0.032364508295553145</v>
      </c>
      <c r="Y35" s="188">
        <f t="shared" si="3"/>
        <v>0.023071123368206225</v>
      </c>
      <c r="Z35" s="188">
        <f t="shared" si="5"/>
        <v>0.052876201296208326</v>
      </c>
      <c r="AA35" s="188"/>
    </row>
    <row r="36" spans="1:27" ht="12.75">
      <c r="A36" s="171">
        <v>1980</v>
      </c>
      <c r="B36" s="174">
        <v>17953.38363502341</v>
      </c>
      <c r="C36" s="174">
        <v>17858.699054916207</v>
      </c>
      <c r="D36" s="174">
        <v>19222.959949732503</v>
      </c>
      <c r="E36" s="174">
        <v>16190.600416933396</v>
      </c>
      <c r="F36" s="174">
        <v>17680.693432678207</v>
      </c>
      <c r="G36" s="174">
        <v>11665.509607365295</v>
      </c>
      <c r="H36" s="174">
        <v>11011.058764060646</v>
      </c>
      <c r="I36" s="174">
        <v>17239.591618419043</v>
      </c>
      <c r="J36" s="174">
        <v>21708.234679433976</v>
      </c>
      <c r="K36" s="174">
        <v>18560.493054982082</v>
      </c>
      <c r="L36" s="174">
        <v>10018.511006667157</v>
      </c>
      <c r="M36" s="174">
        <v>11726.41077088442</v>
      </c>
      <c r="N36" s="174">
        <v>18210.466136481307</v>
      </c>
      <c r="O36" s="174">
        <v>15589.755354348323</v>
      </c>
      <c r="P36" s="174">
        <f>(B36*pop_oecd_long_past!B36+C36*pop_oecd_long_past!C36+D36*pop_oecd_long_past!D36+E36*pop_oecd_long_past!E36+F36*pop_oecd_long_past!F36+G36*pop_oecd_long_past!G36+H36*pop_oecd_long_past!H36+I36*pop_oecd_long_past!I36+J36*pop_oecd_long_past!J36+K36*pop_oecd_long_past!K36+L36*pop_oecd_long_past!L36+M36*pop_oecd_long_past!M36+N36*pop_oecd_long_past!N36+O36*pop_oecd_long_past!O36)/SUM(pop_oecd_long_past!B36:O36)</f>
        <v>15881.186087682938</v>
      </c>
      <c r="Q36" s="174">
        <v>22244.778077499544</v>
      </c>
      <c r="R36" s="174">
        <v>16194.68133341707</v>
      </c>
      <c r="T36" s="188">
        <f t="shared" si="2"/>
        <v>0.011934473732960372</v>
      </c>
      <c r="U36" s="188">
        <f t="shared" si="0"/>
        <v>-0.011284400815190124</v>
      </c>
      <c r="V36" s="188">
        <f t="shared" si="1"/>
        <v>0.020103049127490606</v>
      </c>
      <c r="X36" s="188">
        <f t="shared" si="4"/>
        <v>0.029354036440197535</v>
      </c>
      <c r="Y36" s="188">
        <f t="shared" si="3"/>
        <v>0.019031737676688105</v>
      </c>
      <c r="Z36" s="188">
        <f t="shared" si="5"/>
        <v>0.0448695726995515</v>
      </c>
      <c r="AA36" s="188"/>
    </row>
    <row r="37" spans="1:27" ht="12.75">
      <c r="A37" s="171">
        <v>1981</v>
      </c>
      <c r="B37" s="174">
        <v>17899.55190533138</v>
      </c>
      <c r="C37" s="174">
        <v>17625.782919660014</v>
      </c>
      <c r="D37" s="174">
        <v>19057.359335063582</v>
      </c>
      <c r="E37" s="174">
        <v>16422.036365422035</v>
      </c>
      <c r="F37" s="174">
        <v>17770.624125376304</v>
      </c>
      <c r="G37" s="174">
        <v>11567.79747706495</v>
      </c>
      <c r="H37" s="174">
        <v>11237.154724431068</v>
      </c>
      <c r="I37" s="174">
        <v>17305.56388028422</v>
      </c>
      <c r="J37" s="174">
        <v>21816.4069606365</v>
      </c>
      <c r="K37" s="174">
        <v>18333.78057249668</v>
      </c>
      <c r="L37" s="174">
        <v>10105.951887288913</v>
      </c>
      <c r="M37" s="174">
        <v>11705.006769178144</v>
      </c>
      <c r="N37" s="174">
        <v>18186.06258874037</v>
      </c>
      <c r="O37" s="174">
        <v>15367.853029045058</v>
      </c>
      <c r="P37" s="174">
        <f>(B37*pop_oecd_long_past!B37+C37*pop_oecd_long_past!C37+D37*pop_oecd_long_past!D37+E37*pop_oecd_long_past!E37+F37*pop_oecd_long_past!F37+G37*pop_oecd_long_past!G37+H37*pop_oecd_long_past!H37+I37*pop_oecd_long_past!I37+J37*pop_oecd_long_past!J37+K37*pop_oecd_long_past!K37+L37*pop_oecd_long_past!L37+M37*pop_oecd_long_past!M37+N37*pop_oecd_long_past!N37+O37*pop_oecd_long_past!O37)/SUM(pop_oecd_long_past!B37:O37)</f>
        <v>15841.443126684399</v>
      </c>
      <c r="Q37" s="174">
        <v>22577.884229778458</v>
      </c>
      <c r="R37" s="174">
        <v>16588.697292753754</v>
      </c>
      <c r="T37" s="188">
        <f t="shared" si="2"/>
        <v>-0.0025025184377987326</v>
      </c>
      <c r="U37" s="188">
        <f t="shared" si="0"/>
        <v>0.014974577454465506</v>
      </c>
      <c r="V37" s="188">
        <f t="shared" si="1"/>
        <v>0.024329960634893653</v>
      </c>
      <c r="X37" s="188">
        <f t="shared" si="4"/>
        <v>0.025120110713551927</v>
      </c>
      <c r="Y37" s="188">
        <f t="shared" si="3"/>
        <v>0.018505240403928494</v>
      </c>
      <c r="Z37" s="188">
        <f t="shared" si="5"/>
        <v>0.037598617202567935</v>
      </c>
      <c r="AA37" s="188"/>
    </row>
    <row r="38" spans="1:27" ht="12.75">
      <c r="A38" s="171">
        <v>1982</v>
      </c>
      <c r="B38" s="174">
        <v>18218.138184536365</v>
      </c>
      <c r="C38" s="174">
        <v>17867.40524682509</v>
      </c>
      <c r="D38" s="174">
        <v>19647.090676720392</v>
      </c>
      <c r="E38" s="174">
        <v>16860.525990277427</v>
      </c>
      <c r="F38" s="174">
        <v>18121.632033473164</v>
      </c>
      <c r="G38" s="174">
        <v>11542.133097963515</v>
      </c>
      <c r="H38" s="174">
        <v>11372.744055264713</v>
      </c>
      <c r="I38" s="174">
        <v>17374.657556149738</v>
      </c>
      <c r="J38" s="174">
        <v>21610.250617054568</v>
      </c>
      <c r="K38" s="174">
        <v>18039.24889702987</v>
      </c>
      <c r="L38" s="174">
        <v>10311.635964661564</v>
      </c>
      <c r="M38" s="174">
        <v>11841.722386339177</v>
      </c>
      <c r="N38" s="174">
        <v>18357.954927435927</v>
      </c>
      <c r="O38" s="174">
        <v>15617.671565892084</v>
      </c>
      <c r="P38" s="174">
        <f>(B38*pop_oecd_long_past!B38+C38*pop_oecd_long_past!C38+D38*pop_oecd_long_past!D38+E38*pop_oecd_long_past!E38+F38*pop_oecd_long_past!F38+G38*pop_oecd_long_past!G38+H38*pop_oecd_long_past!H38+I38*pop_oecd_long_past!I38+J38*pop_oecd_long_past!J38+K38*pop_oecd_long_past!K38+L38*pop_oecd_long_past!L38+M38*pop_oecd_long_past!M38+N38*pop_oecd_long_past!N38+O38*pop_oecd_long_past!O38)/SUM(pop_oecd_long_past!B38:O38)</f>
        <v>16024.336939114883</v>
      </c>
      <c r="Q38" s="174">
        <v>21942.735000338707</v>
      </c>
      <c r="R38" s="174">
        <v>16979.34574536178</v>
      </c>
      <c r="T38" s="188">
        <f t="shared" si="2"/>
        <v>0.011545274692960605</v>
      </c>
      <c r="U38" s="188">
        <f t="shared" si="0"/>
        <v>-0.02813147693449674</v>
      </c>
      <c r="V38" s="188">
        <f t="shared" si="1"/>
        <v>0.02354907354772638</v>
      </c>
      <c r="X38" s="188">
        <f t="shared" si="4"/>
        <v>0.02301221483420504</v>
      </c>
      <c r="Y38" s="188">
        <f t="shared" si="3"/>
        <v>0.016982032975812234</v>
      </c>
      <c r="Z38" s="188">
        <f t="shared" si="5"/>
        <v>0.0316740713222119</v>
      </c>
      <c r="AA38" s="188"/>
    </row>
    <row r="39" spans="1:27" ht="12.75">
      <c r="A39" s="171">
        <v>1983</v>
      </c>
      <c r="B39" s="174">
        <v>18784.271659751335</v>
      </c>
      <c r="C39" s="174">
        <v>17866.695519989586</v>
      </c>
      <c r="D39" s="174">
        <v>20155.741727413744</v>
      </c>
      <c r="E39" s="174">
        <v>17213.270953748954</v>
      </c>
      <c r="F39" s="174">
        <v>18261.033026641493</v>
      </c>
      <c r="G39" s="174">
        <v>11521.272809639751</v>
      </c>
      <c r="H39" s="174">
        <v>11267.62140644606</v>
      </c>
      <c r="I39" s="174">
        <v>17556.9674975651</v>
      </c>
      <c r="J39" s="174">
        <v>22140.142995238264</v>
      </c>
      <c r="K39" s="174">
        <v>18280.906162316223</v>
      </c>
      <c r="L39" s="174">
        <v>10280.568561783972</v>
      </c>
      <c r="M39" s="174">
        <v>12077.206408806369</v>
      </c>
      <c r="N39" s="174">
        <v>18671.24230988728</v>
      </c>
      <c r="O39" s="174">
        <v>16159.95820213329</v>
      </c>
      <c r="P39" s="174">
        <f>(B39*pop_oecd_long_past!B39+C39*pop_oecd_long_past!C39+D39*pop_oecd_long_past!D39+E39*pop_oecd_long_past!E39+F39*pop_oecd_long_past!F39+G39*pop_oecd_long_past!G39+H39*pop_oecd_long_past!H39+I39*pop_oecd_long_past!I39+J39*pop_oecd_long_past!J39+K39*pop_oecd_long_past!K39+L39*pop_oecd_long_past!L39+M39*pop_oecd_long_past!M39+N39*pop_oecd_long_past!N39+O39*pop_oecd_long_past!O39)/SUM(pop_oecd_long_past!B39:O39)</f>
        <v>16277.84241173475</v>
      </c>
      <c r="Q39" s="174">
        <v>22655.238923100038</v>
      </c>
      <c r="R39" s="174">
        <v>17254.929643296837</v>
      </c>
      <c r="T39" s="188">
        <f t="shared" si="2"/>
        <v>0.0158200288463149</v>
      </c>
      <c r="U39" s="188">
        <f t="shared" si="0"/>
        <v>0.03247106264330005</v>
      </c>
      <c r="V39" s="188">
        <f t="shared" si="1"/>
        <v>0.016230536916320017</v>
      </c>
      <c r="X39" s="188">
        <f t="shared" si="4"/>
        <v>0.022046435057718153</v>
      </c>
      <c r="Y39" s="188">
        <f t="shared" si="3"/>
        <v>0.01816624519382145</v>
      </c>
      <c r="Z39" s="188">
        <f t="shared" si="5"/>
        <v>0.030226905302363303</v>
      </c>
      <c r="AA39" s="188"/>
    </row>
    <row r="40" spans="1:27" ht="12.75">
      <c r="A40" s="171">
        <v>1984</v>
      </c>
      <c r="B40" s="174">
        <v>18844.877066664347</v>
      </c>
      <c r="C40" s="174">
        <v>18309.48806378777</v>
      </c>
      <c r="D40" s="174">
        <v>21051.676527463576</v>
      </c>
      <c r="E40" s="174">
        <v>17638.191798661108</v>
      </c>
      <c r="F40" s="174">
        <v>18429.293217987586</v>
      </c>
      <c r="G40" s="174">
        <v>11778.846030220035</v>
      </c>
      <c r="H40" s="174">
        <v>11674.78178649771</v>
      </c>
      <c r="I40" s="174">
        <v>17986.748945397547</v>
      </c>
      <c r="J40" s="174">
        <v>23391.034553573074</v>
      </c>
      <c r="K40" s="174">
        <v>18806.72494318061</v>
      </c>
      <c r="L40" s="174">
        <v>10074.013645013843</v>
      </c>
      <c r="M40" s="174">
        <v>12195.932618977007</v>
      </c>
      <c r="N40" s="174">
        <v>19395.192389818865</v>
      </c>
      <c r="O40" s="174">
        <v>16540.422999550683</v>
      </c>
      <c r="P40" s="174">
        <f>(B40*pop_oecd_long_past!B40+C40*pop_oecd_long_past!C40+D40*pop_oecd_long_past!D40+E40*pop_oecd_long_past!E40+F40*pop_oecd_long_past!F40+G40*pop_oecd_long_past!G40+H40*pop_oecd_long_past!H40+I40*pop_oecd_long_past!I40+J40*pop_oecd_long_past!J40+K40*pop_oecd_long_past!K40+L40*pop_oecd_long_past!L40+M40*pop_oecd_long_past!M40+N40*pop_oecd_long_past!N40+O40*pop_oecd_long_past!O40)/SUM(pop_oecd_long_past!B40:O40)</f>
        <v>16587.501601066797</v>
      </c>
      <c r="Q40" s="174">
        <v>24095.140734481316</v>
      </c>
      <c r="R40" s="174">
        <v>17816.570833197708</v>
      </c>
      <c r="T40" s="188">
        <f t="shared" si="2"/>
        <v>0.019023355890754483</v>
      </c>
      <c r="U40" s="188">
        <f t="shared" si="0"/>
        <v>0.06355712320089929</v>
      </c>
      <c r="V40" s="188">
        <f t="shared" si="1"/>
        <v>0.03254960764902662</v>
      </c>
      <c r="X40" s="188">
        <f t="shared" si="4"/>
        <v>0.020410718021073027</v>
      </c>
      <c r="Y40" s="188">
        <f t="shared" si="3"/>
        <v>0.019980161467485026</v>
      </c>
      <c r="Z40" s="188">
        <f t="shared" si="5"/>
        <v>0.027184873715673786</v>
      </c>
      <c r="AA40" s="188"/>
    </row>
    <row r="41" spans="1:27" ht="12.75">
      <c r="A41" s="171">
        <v>1985</v>
      </c>
      <c r="B41" s="174">
        <v>19254.767102723843</v>
      </c>
      <c r="C41" s="174">
        <v>18488.16972905848</v>
      </c>
      <c r="D41" s="174">
        <v>21945.690562085587</v>
      </c>
      <c r="E41" s="174">
        <v>18157.515568947092</v>
      </c>
      <c r="F41" s="174">
        <v>18611.62285576749</v>
      </c>
      <c r="G41" s="174">
        <v>12098.438378868874</v>
      </c>
      <c r="H41" s="174">
        <v>11997.598159616182</v>
      </c>
      <c r="I41" s="174">
        <v>18480.980981928187</v>
      </c>
      <c r="J41" s="174">
        <v>23949.7334235947</v>
      </c>
      <c r="K41" s="174">
        <v>19290.560480216333</v>
      </c>
      <c r="L41" s="174">
        <v>10344.500270305618</v>
      </c>
      <c r="M41" s="174">
        <v>12388.08518030546</v>
      </c>
      <c r="N41" s="174">
        <v>19736.860311844353</v>
      </c>
      <c r="O41" s="174">
        <v>17076.283291341715</v>
      </c>
      <c r="P41" s="174">
        <f>(B41*pop_oecd_long_past!B41+C41*pop_oecd_long_past!C41+D41*pop_oecd_long_past!D41+E41*pop_oecd_long_past!E41+F41*pop_oecd_long_past!F41+G41*pop_oecd_long_past!G41+H41*pop_oecd_long_past!H41+I41*pop_oecd_long_past!I41+J41*pop_oecd_long_past!J41+K41*pop_oecd_long_past!K41+L41*pop_oecd_long_past!L41+M41*pop_oecd_long_past!M41+N41*pop_oecd_long_past!N41+O41*pop_oecd_long_past!O41)/SUM(pop_oecd_long_past!B41:O41)</f>
        <v>16959.370258235296</v>
      </c>
      <c r="Q41" s="174">
        <v>24807.189317342963</v>
      </c>
      <c r="R41" s="174">
        <v>18490.448866049985</v>
      </c>
      <c r="T41" s="188">
        <f t="shared" si="2"/>
        <v>0.02241860565334223</v>
      </c>
      <c r="U41" s="188">
        <f t="shared" si="0"/>
        <v>0.02955154280724625</v>
      </c>
      <c r="V41" s="188">
        <f t="shared" si="1"/>
        <v>0.0378231051957898</v>
      </c>
      <c r="X41" s="188">
        <f t="shared" si="4"/>
        <v>0.01761537024166009</v>
      </c>
      <c r="Y41" s="188">
        <f t="shared" si="3"/>
        <v>0.01854643494815038</v>
      </c>
      <c r="Z41" s="188">
        <f t="shared" si="5"/>
        <v>0.024900971000206135</v>
      </c>
      <c r="AA41" s="188"/>
    </row>
    <row r="42" spans="1:27" ht="12.75">
      <c r="A42" s="171">
        <v>1986</v>
      </c>
      <c r="B42" s="174">
        <v>19684.712917886405</v>
      </c>
      <c r="C42" s="174">
        <v>18757.296444740678</v>
      </c>
      <c r="D42" s="174">
        <v>22714.648149484594</v>
      </c>
      <c r="E42" s="174">
        <v>18529.362015583567</v>
      </c>
      <c r="F42" s="174">
        <v>18979.04277350345</v>
      </c>
      <c r="G42" s="174">
        <v>12256.085155373441</v>
      </c>
      <c r="H42" s="174">
        <v>11944.559912556755</v>
      </c>
      <c r="I42" s="174">
        <v>19004.86225245217</v>
      </c>
      <c r="J42" s="174">
        <v>25671.83318170345</v>
      </c>
      <c r="K42" s="174">
        <v>19712.266336209468</v>
      </c>
      <c r="L42" s="174">
        <v>10761.735439027712</v>
      </c>
      <c r="M42" s="174">
        <v>12740.069137531911</v>
      </c>
      <c r="N42" s="174">
        <v>20142.64908075072</v>
      </c>
      <c r="O42" s="174">
        <v>17772.21945786718</v>
      </c>
      <c r="P42" s="174">
        <f>(B42*pop_oecd_long_past!B42+C42*pop_oecd_long_past!C42+D42*pop_oecd_long_past!D42+E42*pop_oecd_long_past!E42+F42*pop_oecd_long_past!F42+G42*pop_oecd_long_past!G42+H42*pop_oecd_long_past!H42+I42*pop_oecd_long_past!I42+J42*pop_oecd_long_past!J42+K42*pop_oecd_long_past!K42+L42*pop_oecd_long_past!L42+M42*pop_oecd_long_past!M42+N42*pop_oecd_long_past!N42+O42*pop_oecd_long_past!O42)/SUM(pop_oecd_long_past!B42:O42)</f>
        <v>17421.723123519234</v>
      </c>
      <c r="Q42" s="174">
        <v>25428.362219569495</v>
      </c>
      <c r="R42" s="174">
        <v>18910.24971785584</v>
      </c>
      <c r="T42" s="188">
        <f t="shared" si="2"/>
        <v>0.027262384053406932</v>
      </c>
      <c r="U42" s="188">
        <f t="shared" si="0"/>
        <v>0.025040035542932843</v>
      </c>
      <c r="V42" s="188">
        <f t="shared" si="1"/>
        <v>0.022703659324173873</v>
      </c>
      <c r="X42" s="188">
        <f t="shared" si="4"/>
        <v>0.018178273040482917</v>
      </c>
      <c r="Y42" s="188">
        <f t="shared" si="3"/>
        <v>0.02162212554206352</v>
      </c>
      <c r="Z42" s="188">
        <f t="shared" si="5"/>
        <v>0.02890095021843384</v>
      </c>
      <c r="AA42" s="188"/>
    </row>
    <row r="43" spans="1:27" ht="12.75">
      <c r="A43" s="171">
        <v>1987</v>
      </c>
      <c r="B43" s="174">
        <v>19988.74646347149</v>
      </c>
      <c r="C43" s="174">
        <v>19183.809365544636</v>
      </c>
      <c r="D43" s="174">
        <v>22752.621845643484</v>
      </c>
      <c r="E43" s="174">
        <v>19233.019743111825</v>
      </c>
      <c r="F43" s="174">
        <v>19373.67919970313</v>
      </c>
      <c r="G43" s="174">
        <v>12167.414715767754</v>
      </c>
      <c r="H43" s="174">
        <v>12503.450749606336</v>
      </c>
      <c r="I43" s="174">
        <v>19594.780246619284</v>
      </c>
      <c r="J43" s="174">
        <v>26134.780255416248</v>
      </c>
      <c r="K43" s="174">
        <v>19863.815141502688</v>
      </c>
      <c r="L43" s="174">
        <v>11439.374015217298</v>
      </c>
      <c r="M43" s="174">
        <v>13405.304835798157</v>
      </c>
      <c r="N43" s="174">
        <v>20704.265425272333</v>
      </c>
      <c r="O43" s="174">
        <v>18557.79181210306</v>
      </c>
      <c r="P43" s="174">
        <f>(B43*pop_oecd_long_past!B43+C43*pop_oecd_long_past!C43+D43*pop_oecd_long_past!D43+E43*pop_oecd_long_past!E43+F43*pop_oecd_long_past!F43+G43*pop_oecd_long_past!G43+H43*pop_oecd_long_past!H43+I43*pop_oecd_long_past!I43+J43*pop_oecd_long_past!J43+K43*pop_oecd_long_past!K43+L43*pop_oecd_long_past!L43+M43*pop_oecd_long_past!M43+N43*pop_oecd_long_past!N43+O43*pop_oecd_long_past!O43)/SUM(pop_oecd_long_past!B43:O43)</f>
        <v>17955.96518683919</v>
      </c>
      <c r="Q43" s="174">
        <v>26088.86499495735</v>
      </c>
      <c r="R43" s="174">
        <v>19600.076174746446</v>
      </c>
      <c r="T43" s="188">
        <f t="shared" si="2"/>
        <v>0.03066528262056527</v>
      </c>
      <c r="U43" s="188">
        <f t="shared" si="0"/>
        <v>0.02597504195057968</v>
      </c>
      <c r="V43" s="188">
        <f t="shared" si="1"/>
        <v>0.036478971308308135</v>
      </c>
      <c r="X43" s="188">
        <f t="shared" si="4"/>
        <v>0.02137189010854434</v>
      </c>
      <c r="Y43" s="188">
        <f t="shared" si="3"/>
        <v>0.024835939587081163</v>
      </c>
      <c r="Z43" s="188">
        <f t="shared" si="5"/>
        <v>0.030451032490083532</v>
      </c>
      <c r="AA43" s="188"/>
    </row>
    <row r="44" spans="1:27" ht="12.75">
      <c r="A44" s="171">
        <v>1988</v>
      </c>
      <c r="B44" s="174">
        <v>20566.821833048743</v>
      </c>
      <c r="C44" s="174">
        <v>20061.22380190558</v>
      </c>
      <c r="D44" s="174">
        <v>23006.377121374273</v>
      </c>
      <c r="E44" s="174">
        <v>20115.360478606395</v>
      </c>
      <c r="F44" s="174">
        <v>20136.952131782615</v>
      </c>
      <c r="G44" s="174">
        <v>12694.700952714933</v>
      </c>
      <c r="H44" s="174">
        <v>13194.494242666733</v>
      </c>
      <c r="I44" s="174">
        <v>20351.279678896546</v>
      </c>
      <c r="J44" s="174">
        <v>28703.31981302072</v>
      </c>
      <c r="K44" s="174">
        <v>20250.29246451169</v>
      </c>
      <c r="L44" s="174">
        <v>12289.540571374468</v>
      </c>
      <c r="M44" s="174">
        <v>14075.49520678224</v>
      </c>
      <c r="N44" s="174">
        <v>21071.113372419888</v>
      </c>
      <c r="O44" s="174">
        <v>19421.650416903412</v>
      </c>
      <c r="P44" s="174">
        <f>(B44*pop_oecd_long_past!B44+C44*pop_oecd_long_past!C44+D44*pop_oecd_long_past!D44+E44*pop_oecd_long_past!E44+F44*pop_oecd_long_past!F44+G44*pop_oecd_long_past!G44+H44*pop_oecd_long_past!H44+I44*pop_oecd_long_past!I44+J44*pop_oecd_long_past!J44+K44*pop_oecd_long_past!K44+L44*pop_oecd_long_past!L44+M44*pop_oecd_long_past!M44+N44*pop_oecd_long_past!N44+O44*pop_oecd_long_past!O44)/SUM(pop_oecd_long_past!B44:O44)</f>
        <v>18682.08319431588</v>
      </c>
      <c r="Q44" s="174">
        <v>26941.121151763462</v>
      </c>
      <c r="R44" s="174">
        <v>20725.692190746635</v>
      </c>
      <c r="T44" s="188">
        <f t="shared" si="2"/>
        <v>0.040438817959443374</v>
      </c>
      <c r="U44" s="188">
        <f t="shared" si="0"/>
        <v>0.032667429455855754</v>
      </c>
      <c r="V44" s="188">
        <f t="shared" si="1"/>
        <v>0.05742916537490195</v>
      </c>
      <c r="X44" s="188">
        <f t="shared" si="4"/>
        <v>0.021592435323001407</v>
      </c>
      <c r="Y44" s="188">
        <f t="shared" si="3"/>
        <v>0.024019631816594226</v>
      </c>
      <c r="Z44" s="188">
        <f t="shared" si="5"/>
        <v>0.03284812871904184</v>
      </c>
      <c r="AA44" s="188"/>
    </row>
    <row r="45" spans="1:27" ht="12.75">
      <c r="A45" s="171">
        <v>1989</v>
      </c>
      <c r="B45" s="174">
        <v>21358.791151444424</v>
      </c>
      <c r="C45" s="174">
        <v>20668.798150229242</v>
      </c>
      <c r="D45" s="174">
        <v>23053.090258704997</v>
      </c>
      <c r="E45" s="174">
        <v>21187.877014610953</v>
      </c>
      <c r="F45" s="174">
        <v>20752.161883062287</v>
      </c>
      <c r="G45" s="174">
        <v>13115.555335900617</v>
      </c>
      <c r="H45" s="174">
        <v>14026.72633758723</v>
      </c>
      <c r="I45" s="174">
        <v>20936.535754051954</v>
      </c>
      <c r="J45" s="174">
        <v>31368.341930381106</v>
      </c>
      <c r="K45" s="174">
        <v>21073.298326470438</v>
      </c>
      <c r="L45" s="174">
        <v>12917.449903465747</v>
      </c>
      <c r="M45" s="174">
        <v>14757.965714247735</v>
      </c>
      <c r="N45" s="174">
        <v>21448.876913131742</v>
      </c>
      <c r="O45" s="174">
        <v>19787.812498286883</v>
      </c>
      <c r="P45" s="174">
        <f>(B45*pop_oecd_long_past!B45+C45*pop_oecd_long_past!C45+D45*pop_oecd_long_past!D45+E45*pop_oecd_long_past!E45+F45*pop_oecd_long_past!F45+G45*pop_oecd_long_past!G45+H45*pop_oecd_long_past!H45+I45*pop_oecd_long_past!I45+J45*pop_oecd_long_past!J45+K45*pop_oecd_long_past!K45+L45*pop_oecd_long_past!L45+M45*pop_oecd_long_past!M45+N45*pop_oecd_long_past!N45+O45*pop_oecd_long_past!O45)/SUM(pop_oecd_long_past!B45:O45)</f>
        <v>19256.689841909967</v>
      </c>
      <c r="Q45" s="174">
        <v>27611.476674483878</v>
      </c>
      <c r="R45" s="174">
        <v>21639.64746906853</v>
      </c>
      <c r="T45" s="188">
        <f t="shared" si="2"/>
        <v>0.030757097140479125</v>
      </c>
      <c r="U45" s="188">
        <f t="shared" si="0"/>
        <v>0.02488224298254704</v>
      </c>
      <c r="V45" s="188">
        <f t="shared" si="1"/>
        <v>0.0440976962270022</v>
      </c>
      <c r="X45" s="188">
        <f t="shared" si="4"/>
        <v>0.02218177574605897</v>
      </c>
      <c r="Y45" s="188">
        <f t="shared" si="3"/>
        <v>0.023189798265028736</v>
      </c>
      <c r="Z45" s="188">
        <f t="shared" si="5"/>
        <v>0.03370239172133179</v>
      </c>
      <c r="AA45" s="188"/>
    </row>
    <row r="46" spans="1:27" ht="12.75">
      <c r="A46" s="171">
        <v>1990</v>
      </c>
      <c r="B46" s="174">
        <v>22058.383640781754</v>
      </c>
      <c r="C46" s="174">
        <v>21228.05560621491</v>
      </c>
      <c r="D46" s="174">
        <v>23294.305397286513</v>
      </c>
      <c r="E46" s="174">
        <v>21088.69917984291</v>
      </c>
      <c r="F46" s="174">
        <v>21176.252773280317</v>
      </c>
      <c r="G46" s="174">
        <v>12987.015449789396</v>
      </c>
      <c r="H46" s="174">
        <v>15235.92780119754</v>
      </c>
      <c r="I46" s="174">
        <v>21387.444702407425</v>
      </c>
      <c r="J46" s="174">
        <v>31879.694158837316</v>
      </c>
      <c r="K46" s="174">
        <v>21788.664656366225</v>
      </c>
      <c r="L46" s="174">
        <v>13483.482072260302</v>
      </c>
      <c r="M46" s="174">
        <v>15360.987818224035</v>
      </c>
      <c r="N46" s="174">
        <v>21573.82671928713</v>
      </c>
      <c r="O46" s="174">
        <v>19807.330020542337</v>
      </c>
      <c r="P46" s="174">
        <f>(B46*pop_oecd_long_past!B46+C46*pop_oecd_long_past!C46+D46*pop_oecd_long_past!D46+E46*pop_oecd_long_past!E46+F46*pop_oecd_long_past!F46+G46*pop_oecd_long_past!G46+H46*pop_oecd_long_past!H46+I46*pop_oecd_long_past!I46+J46*pop_oecd_long_past!J46+K46*pop_oecd_long_past!K46+L46*pop_oecd_long_past!L46+M46*pop_oecd_long_past!M46+N46*pop_oecd_long_past!N46+O46*pop_oecd_long_past!O46)/SUM(pop_oecd_long_past!B46:O46)</f>
        <v>19630.515980954355</v>
      </c>
      <c r="Q46" s="174">
        <v>27780.64925876211</v>
      </c>
      <c r="R46" s="174">
        <v>22660.80728099363</v>
      </c>
      <c r="T46" s="188">
        <f t="shared" si="2"/>
        <v>0.019412793274096264</v>
      </c>
      <c r="U46" s="188">
        <f t="shared" si="0"/>
        <v>0.006126893764959956</v>
      </c>
      <c r="V46" s="188">
        <f t="shared" si="1"/>
        <v>0.04718929979726951</v>
      </c>
      <c r="X46" s="188">
        <f t="shared" si="4"/>
        <v>0.02154580174774162</v>
      </c>
      <c r="Y46" s="188">
        <f t="shared" si="3"/>
        <v>0.01987458102656495</v>
      </c>
      <c r="Z46" s="188">
        <f t="shared" si="5"/>
        <v>0.03403619579212546</v>
      </c>
      <c r="AA46" s="188"/>
    </row>
    <row r="47" spans="1:27" ht="12.75">
      <c r="A47" s="171">
        <v>1991</v>
      </c>
      <c r="B47" s="174">
        <v>22514.43810186681</v>
      </c>
      <c r="C47" s="174">
        <v>21541.157342344675</v>
      </c>
      <c r="D47" s="174">
        <v>23492.831140583272</v>
      </c>
      <c r="E47" s="174">
        <v>19634.164061864758</v>
      </c>
      <c r="F47" s="174">
        <v>21267.135746362823</v>
      </c>
      <c r="G47" s="174">
        <v>13227.105195136182</v>
      </c>
      <c r="H47" s="174">
        <v>15430.650715224408</v>
      </c>
      <c r="I47" s="174">
        <v>21683.01569535545</v>
      </c>
      <c r="J47" s="174">
        <v>34271.92706986703</v>
      </c>
      <c r="K47" s="174">
        <v>22113.823334163848</v>
      </c>
      <c r="L47" s="174">
        <v>14077.7155192607</v>
      </c>
      <c r="M47" s="174">
        <v>15707.910152252103</v>
      </c>
      <c r="N47" s="174">
        <v>21195.98861259975</v>
      </c>
      <c r="O47" s="174">
        <v>19478.01266976773</v>
      </c>
      <c r="P47" s="174">
        <f>(B47*pop_oecd_long_past!B47+C47*pop_oecd_long_past!C47+D47*pop_oecd_long_past!D47+E47*pop_oecd_long_past!E47+F47*pop_oecd_long_past!F47+G47*pop_oecd_long_past!G47+H47*pop_oecd_long_past!H47+I47*pop_oecd_long_past!I47+J47*pop_oecd_long_past!J47+K47*pop_oecd_long_past!K47+L47*pop_oecd_long_past!L47+M47*pop_oecd_long_past!M47+N47*pop_oecd_long_past!N47+O47*pop_oecd_long_past!O47)/SUM(pop_oecd_long_past!B47:O47)</f>
        <v>19730.414894203936</v>
      </c>
      <c r="Q47" s="174">
        <v>27276.14427961304</v>
      </c>
      <c r="R47" s="174">
        <v>23322.202840777416</v>
      </c>
      <c r="T47" s="188">
        <f t="shared" si="2"/>
        <v>0.005088960134644618</v>
      </c>
      <c r="U47" s="188">
        <f t="shared" si="0"/>
        <v>-0.01816030195874376</v>
      </c>
      <c r="V47" s="188">
        <f t="shared" si="1"/>
        <v>0.029186760717854882</v>
      </c>
      <c r="X47" s="188">
        <f t="shared" si="4"/>
        <v>0.019322046296764123</v>
      </c>
      <c r="Y47" s="188">
        <f t="shared" si="3"/>
        <v>0.01647248084119631</v>
      </c>
      <c r="Z47" s="188">
        <f t="shared" si="5"/>
        <v>0.032639240485063135</v>
      </c>
      <c r="AA47" s="188"/>
    </row>
    <row r="48" spans="1:27" ht="12.75">
      <c r="A48" s="171">
        <v>1992</v>
      </c>
      <c r="B48" s="174">
        <v>22752.160964371084</v>
      </c>
      <c r="C48" s="174">
        <v>21782.32599360018</v>
      </c>
      <c r="D48" s="174">
        <v>23558.422073974183</v>
      </c>
      <c r="E48" s="174">
        <v>18783.768993143734</v>
      </c>
      <c r="F48" s="174">
        <v>21464.50417253643</v>
      </c>
      <c r="G48" s="174">
        <v>13223.81084189868</v>
      </c>
      <c r="H48" s="174">
        <v>15828.518611382373</v>
      </c>
      <c r="I48" s="174">
        <v>21812.036262001297</v>
      </c>
      <c r="J48" s="174">
        <v>34409.92837584313</v>
      </c>
      <c r="K48" s="174">
        <v>22401.119484957297</v>
      </c>
      <c r="L48" s="174">
        <v>14237.060053882078</v>
      </c>
      <c r="M48" s="174">
        <v>15818.58659664898</v>
      </c>
      <c r="N48" s="174">
        <v>20783.201887599324</v>
      </c>
      <c r="O48" s="174">
        <v>19448.547293023577</v>
      </c>
      <c r="P48" s="174">
        <f>(B48*pop_oecd_long_past!B48+C48*pop_oecd_long_past!C48+D48*pop_oecd_long_past!D48+E48*pop_oecd_long_past!E48+F48*pop_oecd_long_past!F48+G48*pop_oecd_long_past!G48+H48*pop_oecd_long_past!H48+I48*pop_oecd_long_past!I48+J48*pop_oecd_long_past!J48+K48*pop_oecd_long_past!K48+L48*pop_oecd_long_past!L48+M48*pop_oecd_long_past!M48+N48*pop_oecd_long_past!N48+O48*pop_oecd_long_past!O48)/SUM(pop_oecd_long_past!B48:O48)</f>
        <v>19820.72346589578</v>
      </c>
      <c r="Q48" s="174">
        <v>27739.65859614375</v>
      </c>
      <c r="R48" s="174">
        <v>23482.252884633694</v>
      </c>
      <c r="T48" s="188">
        <f t="shared" si="2"/>
        <v>0.004577124818514202</v>
      </c>
      <c r="U48" s="188">
        <f t="shared" si="0"/>
        <v>0.016993395832605004</v>
      </c>
      <c r="V48" s="188">
        <f t="shared" si="1"/>
        <v>0.00686256118038902</v>
      </c>
      <c r="X48" s="188">
        <f t="shared" si="4"/>
        <v>0.018708933887226938</v>
      </c>
      <c r="Y48" s="188">
        <f t="shared" si="3"/>
        <v>0.018828963895179237</v>
      </c>
      <c r="Z48" s="188">
        <f t="shared" si="5"/>
        <v>0.031535866489471334</v>
      </c>
      <c r="AA48" s="188"/>
    </row>
    <row r="49" spans="1:27" ht="12.75">
      <c r="A49" s="171">
        <v>1993</v>
      </c>
      <c r="B49" s="174">
        <v>22636.27876156203</v>
      </c>
      <c r="C49" s="174">
        <v>21488.701959160877</v>
      </c>
      <c r="D49" s="174">
        <v>23480.940341428406</v>
      </c>
      <c r="E49" s="174">
        <v>18462.156651448215</v>
      </c>
      <c r="F49" s="174">
        <v>21169.240121059316</v>
      </c>
      <c r="G49" s="174">
        <v>12940.313697046176</v>
      </c>
      <c r="H49" s="174">
        <v>16164.191386123313</v>
      </c>
      <c r="I49" s="174">
        <v>21548.79662579787</v>
      </c>
      <c r="J49" s="174">
        <v>35324.85279872316</v>
      </c>
      <c r="K49" s="174">
        <v>22422.907178460922</v>
      </c>
      <c r="L49" s="174">
        <v>13923.792991087681</v>
      </c>
      <c r="M49" s="174">
        <v>15624.545347852134</v>
      </c>
      <c r="N49" s="174">
        <v>20259.07336085849</v>
      </c>
      <c r="O49" s="174">
        <v>19846.617708957674</v>
      </c>
      <c r="P49" s="174">
        <f>(B49*pop_oecd_long_past!B49+C49*pop_oecd_long_past!C49+D49*pop_oecd_long_past!D49+E49*pop_oecd_long_past!E49+F49*pop_oecd_long_past!F49+G49*pop_oecd_long_past!G49+H49*pop_oecd_long_past!H49+I49*pop_oecd_long_past!I49+J49*pop_oecd_long_past!J49+K49*pop_oecd_long_past!K49+L49*pop_oecd_long_past!L49+M49*pop_oecd_long_past!M49+N49*pop_oecd_long_past!N49+O49*pop_oecd_long_past!O49)/SUM(pop_oecd_long_past!B49:O49)</f>
        <v>19714.682229326067</v>
      </c>
      <c r="Q49" s="174">
        <v>28113.14234905015</v>
      </c>
      <c r="R49" s="174">
        <v>23488.38489504291</v>
      </c>
      <c r="T49" s="188">
        <f t="shared" si="2"/>
        <v>-0.005350018466892506</v>
      </c>
      <c r="U49" s="188">
        <f t="shared" si="0"/>
        <v>0.013463891475518111</v>
      </c>
      <c r="V49" s="188">
        <f t="shared" si="1"/>
        <v>0.00026113382047887937</v>
      </c>
      <c r="X49" s="188">
        <f t="shared" si="4"/>
        <v>0.01847164221813579</v>
      </c>
      <c r="Y49" s="188">
        <f t="shared" si="3"/>
        <v>0.018703073396933622</v>
      </c>
      <c r="Z49" s="188">
        <f t="shared" si="5"/>
        <v>0.029530130921603434</v>
      </c>
      <c r="AA49" s="188"/>
    </row>
    <row r="50" spans="1:27" ht="12.75">
      <c r="A50" s="171">
        <v>1994</v>
      </c>
      <c r="B50" s="174">
        <v>23113.329147322907</v>
      </c>
      <c r="C50" s="174">
        <v>22113.879764528516</v>
      </c>
      <c r="D50" s="174">
        <v>24682.50987728486</v>
      </c>
      <c r="E50" s="174">
        <v>19106.977541558845</v>
      </c>
      <c r="F50" s="174">
        <v>21513.85709200266</v>
      </c>
      <c r="G50" s="174">
        <v>13140.040487945138</v>
      </c>
      <c r="H50" s="174">
        <v>17016.01310193919</v>
      </c>
      <c r="I50" s="174">
        <v>21965.65537405161</v>
      </c>
      <c r="J50" s="174">
        <v>36106.79434397233</v>
      </c>
      <c r="K50" s="174">
        <v>22789.019249905057</v>
      </c>
      <c r="L50" s="174">
        <v>14024.524414437643</v>
      </c>
      <c r="M50" s="174">
        <v>15971.362716731392</v>
      </c>
      <c r="N50" s="174">
        <v>20990.89268054259</v>
      </c>
      <c r="O50" s="174">
        <v>20658.25456042842</v>
      </c>
      <c r="P50" s="174">
        <f>(B50*pop_oecd_long_past!B50+C50*pop_oecd_long_past!C50+D50*pop_oecd_long_past!D50+E50*pop_oecd_long_past!E50+F50*pop_oecd_long_past!F50+G50*pop_oecd_long_past!G50+H50*pop_oecd_long_past!H50+I50*pop_oecd_long_past!I50+J50*pop_oecd_long_past!J50+K50*pop_oecd_long_past!K50+L50*pop_oecd_long_past!L50+M50*pop_oecd_long_past!M50+N50*pop_oecd_long_past!N50+O50*pop_oecd_long_past!O50)/SUM(pop_oecd_long_past!B50:O50)</f>
        <v>20209.609667434863</v>
      </c>
      <c r="Q50" s="174">
        <v>28906.04024004751</v>
      </c>
      <c r="R50" s="174">
        <v>23660.978826468916</v>
      </c>
      <c r="T50" s="188">
        <f t="shared" si="2"/>
        <v>0.025104510047470087</v>
      </c>
      <c r="U50" s="188">
        <f t="shared" si="0"/>
        <v>0.02820381589339296</v>
      </c>
      <c r="V50" s="188">
        <f t="shared" si="1"/>
        <v>0.007348054461694032</v>
      </c>
      <c r="X50" s="188">
        <f t="shared" si="4"/>
        <v>0.01960157849767825</v>
      </c>
      <c r="Y50" s="188">
        <f t="shared" si="3"/>
        <v>0.023397681132591094</v>
      </c>
      <c r="Z50" s="188">
        <f t="shared" si="5"/>
        <v>0.0281800459977674</v>
      </c>
      <c r="AA50" s="188"/>
    </row>
    <row r="51" spans="1:27" ht="12.75">
      <c r="A51" s="171">
        <v>1995</v>
      </c>
      <c r="B51" s="174">
        <v>23430.43056130016</v>
      </c>
      <c r="C51" s="174">
        <v>22590.742638998567</v>
      </c>
      <c r="D51" s="174">
        <v>25231.058027413997</v>
      </c>
      <c r="E51" s="174">
        <v>19691.92244417716</v>
      </c>
      <c r="F51" s="174">
        <v>21781.80331130959</v>
      </c>
      <c r="G51" s="174">
        <v>13380.475280610028</v>
      </c>
      <c r="H51" s="174">
        <v>18603.032685146674</v>
      </c>
      <c r="I51" s="174">
        <v>22570.37671315595</v>
      </c>
      <c r="J51" s="174">
        <v>36054.20349356688</v>
      </c>
      <c r="K51" s="174">
        <v>23363.558096018733</v>
      </c>
      <c r="L51" s="174">
        <v>14604.153629968587</v>
      </c>
      <c r="M51" s="174">
        <v>16387.518001151086</v>
      </c>
      <c r="N51" s="174">
        <v>21702.100662211582</v>
      </c>
      <c r="O51" s="174">
        <v>21167.418417552493</v>
      </c>
      <c r="P51" s="174">
        <f>(B51*pop_oecd_long_past!B51+C51*pop_oecd_long_past!C51+D51*pop_oecd_long_past!D51+E51*pop_oecd_long_past!E51+F51*pop_oecd_long_past!F51+G51*pop_oecd_long_past!G51+H51*pop_oecd_long_past!H51+I51*pop_oecd_long_past!I51+J51*pop_oecd_long_past!J51+K51*pop_oecd_long_past!K51+L51*pop_oecd_long_past!L51+M51*pop_oecd_long_past!M51+N51*pop_oecd_long_past!N51+O51*pop_oecd_long_past!O51)/SUM(pop_oecd_long_past!B51:O51)</f>
        <v>20689.00494651668</v>
      </c>
      <c r="Q51" s="174">
        <v>29338.756591917892</v>
      </c>
      <c r="R51" s="174">
        <v>24053.57974759434</v>
      </c>
      <c r="T51" s="188">
        <f t="shared" si="2"/>
        <v>0.0237211547857998</v>
      </c>
      <c r="U51" s="188">
        <f t="shared" si="0"/>
        <v>0.014969755396343789</v>
      </c>
      <c r="V51" s="188">
        <f t="shared" si="1"/>
        <v>0.016592759074118765</v>
      </c>
      <c r="X51" s="188">
        <f t="shared" si="4"/>
        <v>0.02026000565930199</v>
      </c>
      <c r="Y51" s="188">
        <f t="shared" si="3"/>
        <v>0.02193923886201141</v>
      </c>
      <c r="Z51" s="188">
        <f t="shared" si="5"/>
        <v>0.028210231177583967</v>
      </c>
      <c r="AA51" s="188"/>
    </row>
    <row r="52" spans="1:27" ht="12.75">
      <c r="A52" s="171">
        <v>1996</v>
      </c>
      <c r="B52" s="174">
        <v>23857.932667583773</v>
      </c>
      <c r="C52" s="174">
        <v>22812.58685883053</v>
      </c>
      <c r="D52" s="174">
        <v>25721.69959417569</v>
      </c>
      <c r="E52" s="174">
        <v>20395.689792741843</v>
      </c>
      <c r="F52" s="174">
        <v>21932.01992986907</v>
      </c>
      <c r="G52" s="174">
        <v>13667.552087640048</v>
      </c>
      <c r="H52" s="174">
        <v>19985.589091635924</v>
      </c>
      <c r="I52" s="174">
        <v>22780.297783741284</v>
      </c>
      <c r="J52" s="174">
        <v>36724.9565207883</v>
      </c>
      <c r="K52" s="174">
        <v>23959.058319785203</v>
      </c>
      <c r="L52" s="174">
        <v>15104.935981521889</v>
      </c>
      <c r="M52" s="174">
        <v>16764.102027766945</v>
      </c>
      <c r="N52" s="174">
        <v>21898.44413498709</v>
      </c>
      <c r="O52" s="174">
        <v>21665.23374237398</v>
      </c>
      <c r="P52" s="174">
        <f>(B52*pop_oecd_long_past!B52+C52*pop_oecd_long_past!C52+D52*pop_oecd_long_past!D52+E52*pop_oecd_long_past!E52+F52*pop_oecd_long_past!F52+G52*pop_oecd_long_past!G52+H52*pop_oecd_long_past!H52+I52*pop_oecd_long_past!I52+J52*pop_oecd_long_past!J52+K52*pop_oecd_long_past!K52+L52*pop_oecd_long_past!L52+M52*pop_oecd_long_past!M52+N52*pop_oecd_long_past!N52+O52*pop_oecd_long_past!O52)/SUM(pop_oecd_long_past!B52:O52)</f>
        <v>21037.690589439513</v>
      </c>
      <c r="Q52" s="174">
        <v>30046.03167793822</v>
      </c>
      <c r="R52" s="174">
        <v>24817.634384926903</v>
      </c>
      <c r="T52" s="188">
        <f t="shared" si="2"/>
        <v>0.016853669078054846</v>
      </c>
      <c r="U52" s="188">
        <f t="shared" si="0"/>
        <v>0.024107193629847413</v>
      </c>
      <c r="V52" s="188">
        <f t="shared" si="1"/>
        <v>0.03176469554012967</v>
      </c>
      <c r="X52" s="188">
        <f t="shared" si="4"/>
        <v>0.020079198424910353</v>
      </c>
      <c r="Y52" s="188">
        <f t="shared" si="3"/>
        <v>0.01865174473109042</v>
      </c>
      <c r="Z52" s="188">
        <f t="shared" si="5"/>
        <v>0.02814482183517589</v>
      </c>
      <c r="AA52" s="188"/>
    </row>
    <row r="53" spans="1:27" ht="12.75">
      <c r="A53" s="171">
        <v>1997</v>
      </c>
      <c r="B53" s="174">
        <v>24189.497761365543</v>
      </c>
      <c r="C53" s="174">
        <v>23543.184548739344</v>
      </c>
      <c r="D53" s="174">
        <v>26377.382723594023</v>
      </c>
      <c r="E53" s="174">
        <v>21611.821148012703</v>
      </c>
      <c r="F53" s="174">
        <v>22260.105402101926</v>
      </c>
      <c r="G53" s="174">
        <v>14135.194265204971</v>
      </c>
      <c r="H53" s="174">
        <v>21981.911914848977</v>
      </c>
      <c r="I53" s="174">
        <v>23196.42959310848</v>
      </c>
      <c r="J53" s="174">
        <v>39274.980260341894</v>
      </c>
      <c r="K53" s="174">
        <v>24751.180877087158</v>
      </c>
      <c r="L53" s="174">
        <v>15679.759421960402</v>
      </c>
      <c r="M53" s="174">
        <v>17416.48300704836</v>
      </c>
      <c r="N53" s="174">
        <v>22418.81562526252</v>
      </c>
      <c r="O53" s="174">
        <v>22306.1168821761</v>
      </c>
      <c r="P53" s="174">
        <f>(B53*pop_oecd_long_past!B53+C53*pop_oecd_long_past!C53+D53*pop_oecd_long_past!D53+E53*pop_oecd_long_past!E53+F53*pop_oecd_long_past!F53+G53*pop_oecd_long_past!G53+H53*pop_oecd_long_past!H53+I53*pop_oecd_long_past!I53+J53*pop_oecd_long_past!J53+K53*pop_oecd_long_past!K53+L53*pop_oecd_long_past!L53+M53*pop_oecd_long_past!M53+N53*pop_oecd_long_past!N53+O53*pop_oecd_long_past!O53)/SUM(pop_oecd_long_past!B53:O53)</f>
        <v>21595.695469383045</v>
      </c>
      <c r="Q53" s="174">
        <v>31024.128450543765</v>
      </c>
      <c r="R53" s="174">
        <v>25210.291972916533</v>
      </c>
      <c r="T53" s="188">
        <f t="shared" si="2"/>
        <v>0.026524055840218445</v>
      </c>
      <c r="U53" s="188">
        <f t="shared" si="0"/>
        <v>0.032553276355750144</v>
      </c>
      <c r="V53" s="188">
        <f t="shared" si="1"/>
        <v>0.01582171700571559</v>
      </c>
      <c r="X53" s="188">
        <f t="shared" si="4"/>
        <v>0.020421319273816706</v>
      </c>
      <c r="Y53" s="188">
        <f t="shared" si="3"/>
        <v>0.018901889193465745</v>
      </c>
      <c r="Z53" s="188">
        <f t="shared" si="5"/>
        <v>0.02631137281933638</v>
      </c>
      <c r="AA53" s="188"/>
    </row>
    <row r="54" spans="1:27" ht="12.75">
      <c r="A54" s="171">
        <v>1998</v>
      </c>
      <c r="B54" s="174">
        <v>25077.522880404078</v>
      </c>
      <c r="C54" s="174">
        <v>23968.139805064166</v>
      </c>
      <c r="D54" s="174">
        <v>26933.950342318953</v>
      </c>
      <c r="E54" s="174">
        <v>22637.307009829692</v>
      </c>
      <c r="F54" s="174">
        <v>22922.266454904682</v>
      </c>
      <c r="G54" s="174">
        <v>14579.407746242478</v>
      </c>
      <c r="H54" s="174">
        <v>23614.4377998951</v>
      </c>
      <c r="I54" s="174">
        <v>23583.50024073483</v>
      </c>
      <c r="J54" s="174">
        <v>41454.6417375178</v>
      </c>
      <c r="K54" s="174">
        <v>25676.57173624039</v>
      </c>
      <c r="L54" s="174">
        <v>16369.651475926701</v>
      </c>
      <c r="M54" s="174">
        <v>18150.173100959277</v>
      </c>
      <c r="N54" s="174">
        <v>23227.51751383049</v>
      </c>
      <c r="O54" s="174">
        <v>22913.344417495395</v>
      </c>
      <c r="P54" s="174">
        <f>(B54*pop_oecd_long_past!B54+C54*pop_oecd_long_past!C54+D54*pop_oecd_long_past!D54+E54*pop_oecd_long_past!E54+F54*pop_oecd_long_past!F54+G54*pop_oecd_long_past!G54+H54*pop_oecd_long_past!H54+I54*pop_oecd_long_past!I54+J54*pop_oecd_long_past!J54+K54*pop_oecd_long_past!K54+L54*pop_oecd_long_past!L54+M54*pop_oecd_long_past!M54+N54*pop_oecd_long_past!N54+O54*pop_oecd_long_past!O54)/SUM(pop_oecd_long_past!B54:O54)</f>
        <v>22232.954401956576</v>
      </c>
      <c r="Q54" s="174">
        <v>31944.51353350076</v>
      </c>
      <c r="R54" s="174">
        <v>24868.889572847424</v>
      </c>
      <c r="T54" s="188">
        <f t="shared" si="2"/>
        <v>0.02950860894834322</v>
      </c>
      <c r="U54" s="188">
        <f t="shared" si="0"/>
        <v>0.029666750652615505</v>
      </c>
      <c r="V54" s="188">
        <f t="shared" si="1"/>
        <v>-0.013542183503304087</v>
      </c>
      <c r="X54" s="188">
        <f t="shared" si="4"/>
        <v>0.02060850468172806</v>
      </c>
      <c r="Y54" s="188">
        <f t="shared" si="3"/>
        <v>0.019287448785939302</v>
      </c>
      <c r="Z54" s="188">
        <f t="shared" si="5"/>
        <v>0.023290885917046547</v>
      </c>
      <c r="AA54" s="188"/>
    </row>
    <row r="55" spans="1:27" ht="12.75">
      <c r="A55" s="171">
        <v>1999</v>
      </c>
      <c r="B55" s="174">
        <v>25681.98405587768</v>
      </c>
      <c r="C55" s="174">
        <v>24686.952107663557</v>
      </c>
      <c r="D55" s="174">
        <v>27553.386724339067</v>
      </c>
      <c r="E55" s="174">
        <v>23353.56976939316</v>
      </c>
      <c r="F55" s="174">
        <v>23558.79999399188</v>
      </c>
      <c r="G55" s="174">
        <v>15045.481374260438</v>
      </c>
      <c r="H55" s="174">
        <v>25978.94015222933</v>
      </c>
      <c r="I55" s="174">
        <v>23953.6698480548</v>
      </c>
      <c r="J55" s="174">
        <v>44137.05475863632</v>
      </c>
      <c r="K55" s="174">
        <v>26541.592693527677</v>
      </c>
      <c r="L55" s="174">
        <v>16961.42435965505</v>
      </c>
      <c r="M55" s="174">
        <v>18894.540137439257</v>
      </c>
      <c r="N55" s="174">
        <v>24283.103813735226</v>
      </c>
      <c r="O55" s="174">
        <v>23452.246196730735</v>
      </c>
      <c r="P55" s="174">
        <f>(B55*pop_oecd_long_past!B55+C55*pop_oecd_long_past!C55+D55*pop_oecd_long_past!D55+E55*pop_oecd_long_past!E55+F55*pop_oecd_long_past!F55+G55*pop_oecd_long_past!G55+H55*pop_oecd_long_past!H55+I55*pop_oecd_long_past!I55+J55*pop_oecd_long_past!J55+K55*pop_oecd_long_past!K55+L55*pop_oecd_long_past!L55+M55*pop_oecd_long_past!M55+N55*pop_oecd_long_past!N55+O55*pop_oecd_long_past!O55)/SUM(pop_oecd_long_past!B55:O55)</f>
        <v>22859.767130231558</v>
      </c>
      <c r="Q55" s="174">
        <v>32985.94485030585</v>
      </c>
      <c r="R55" s="174">
        <v>24844.523203971716</v>
      </c>
      <c r="T55" s="188">
        <f t="shared" si="2"/>
        <v>0.02819295703767644</v>
      </c>
      <c r="U55" s="188">
        <f t="shared" si="0"/>
        <v>0.03260125766864233</v>
      </c>
      <c r="V55" s="188">
        <f t="shared" si="1"/>
        <v>-0.0009797931992231675</v>
      </c>
      <c r="X55" s="188">
        <f t="shared" si="4"/>
        <v>0.02040247754982066</v>
      </c>
      <c r="Y55" s="188">
        <f t="shared" si="3"/>
        <v>0.01983963342911119</v>
      </c>
      <c r="Z55" s="188">
        <f t="shared" si="5"/>
        <v>0.020169322208085608</v>
      </c>
      <c r="AA55" s="188"/>
    </row>
    <row r="56" spans="1:27" ht="12.75">
      <c r="A56" s="171">
        <v>2000</v>
      </c>
      <c r="B56" s="174">
        <v>26495.41939141926</v>
      </c>
      <c r="C56" s="174">
        <v>25588.776030928555</v>
      </c>
      <c r="D56" s="174">
        <v>28261.6532985583</v>
      </c>
      <c r="E56" s="174">
        <v>24505.890130025873</v>
      </c>
      <c r="F56" s="174">
        <v>24343.067281506537</v>
      </c>
      <c r="G56" s="174">
        <v>15681.02742465847</v>
      </c>
      <c r="H56" s="174">
        <v>28268.610427472653</v>
      </c>
      <c r="I56" s="174">
        <v>24656.330333778766</v>
      </c>
      <c r="J56" s="174">
        <v>47570.22482962407</v>
      </c>
      <c r="K56" s="174">
        <v>27302.54537354594</v>
      </c>
      <c r="L56" s="174">
        <v>17555.153743063503</v>
      </c>
      <c r="M56" s="174">
        <v>19659.4152807959</v>
      </c>
      <c r="N56" s="174">
        <v>25326.967782199416</v>
      </c>
      <c r="O56" s="174">
        <v>24244.45563465724</v>
      </c>
      <c r="P56" s="174">
        <f>(B56*pop_oecd_long_past!B56+C56*pop_oecd_long_past!C56+D56*pop_oecd_long_past!D56+E56*pop_oecd_long_past!E56+F56*pop_oecd_long_past!F56+G56*pop_oecd_long_past!G56+H56*pop_oecd_long_past!H56+I56*pop_oecd_long_past!I56+J56*pop_oecd_long_past!J56+K56*pop_oecd_long_past!K56+L56*pop_oecd_long_past!L56+M56*pop_oecd_long_past!M56+N56*pop_oecd_long_past!N56+O56*pop_oecd_long_past!O56)/SUM(pop_oecd_long_past!B56:O56)</f>
        <v>23657.326802263706</v>
      </c>
      <c r="Q56" s="174">
        <v>33824.88999141897</v>
      </c>
      <c r="R56" s="174">
        <v>25499.74386166017</v>
      </c>
      <c r="T56" s="188">
        <f t="shared" si="2"/>
        <v>0.03488922995096448</v>
      </c>
      <c r="U56" s="188">
        <f t="shared" si="0"/>
        <v>0.025433412470685587</v>
      </c>
      <c r="V56" s="188">
        <f t="shared" si="1"/>
        <v>0.026372840899748375</v>
      </c>
      <c r="X56" s="188">
        <f t="shared" si="4"/>
        <v>0.019940011882447418</v>
      </c>
      <c r="Y56" s="188">
        <f t="shared" si="3"/>
        <v>0.019236798680347007</v>
      </c>
      <c r="Z56" s="188">
        <f t="shared" si="5"/>
        <v>0.01758129516848947</v>
      </c>
      <c r="AA56" s="188"/>
    </row>
    <row r="57" spans="1:27" ht="12.75">
      <c r="A57" s="171">
        <v>2001</v>
      </c>
      <c r="B57" s="174">
        <v>26607.904933357117</v>
      </c>
      <c r="C57" s="174">
        <v>25739.323202362906</v>
      </c>
      <c r="D57" s="174">
        <v>28571.78447007339</v>
      </c>
      <c r="E57" s="174">
        <v>24751.10156753066</v>
      </c>
      <c r="F57" s="174">
        <v>24738.764358686338</v>
      </c>
      <c r="G57" s="174">
        <v>16289.323674781062</v>
      </c>
      <c r="H57" s="174">
        <v>29684.726051392536</v>
      </c>
      <c r="I57" s="174">
        <v>25046.826690587615</v>
      </c>
      <c r="J57" s="174">
        <v>47547.76870696716</v>
      </c>
      <c r="K57" s="174">
        <v>27482.458640755052</v>
      </c>
      <c r="L57" s="174">
        <v>17820.509475071114</v>
      </c>
      <c r="M57" s="174">
        <v>20147.75819387032</v>
      </c>
      <c r="N57" s="174">
        <v>25599.13135863638</v>
      </c>
      <c r="O57" s="174">
        <v>24672.3837053154</v>
      </c>
      <c r="P57" s="174">
        <f>(B57*pop_oecd_long_past!B57+C57*pop_oecd_long_past!C57+D57*pop_oecd_long_past!D57+E57*pop_oecd_long_past!E57+F57*pop_oecd_long_past!F57+G57*pop_oecd_long_past!G57+H57*pop_oecd_long_past!H57+I57*pop_oecd_long_past!I57+J57*pop_oecd_long_past!J57+K57*pop_oecd_long_past!K57+L57*pop_oecd_long_past!L57+M57*pop_oecd_long_past!M57+N57*pop_oecd_long_past!N57+O57*pop_oecd_long_past!O57)/SUM(pop_oecd_long_past!B57:O57)</f>
        <v>24053.394107694825</v>
      </c>
      <c r="Q57" s="174">
        <v>33675.509204811206</v>
      </c>
      <c r="R57" s="174">
        <v>25566.01456500255</v>
      </c>
      <c r="T57" s="188">
        <f t="shared" si="2"/>
        <v>0.016741845295607134</v>
      </c>
      <c r="U57" s="188">
        <f t="shared" si="0"/>
        <v>-0.004416297780884392</v>
      </c>
      <c r="V57" s="188">
        <f t="shared" si="1"/>
        <v>0.002598877216254065</v>
      </c>
      <c r="X57" s="188">
        <f t="shared" si="4"/>
        <v>0.018772074228708083</v>
      </c>
      <c r="Y57" s="188">
        <f t="shared" si="3"/>
        <v>0.01679525361672772</v>
      </c>
      <c r="Z57" s="188">
        <f t="shared" si="5"/>
        <v>0.014123060250927128</v>
      </c>
      <c r="AA57" s="188"/>
    </row>
    <row r="58" spans="1:27" ht="12.75">
      <c r="A58" s="171">
        <v>2002</v>
      </c>
      <c r="B58" s="174">
        <v>26819.790256132957</v>
      </c>
      <c r="C58" s="174">
        <v>25876.84276944909</v>
      </c>
      <c r="D58" s="174">
        <v>29073.074466883092</v>
      </c>
      <c r="E58" s="174">
        <v>25267.226300141632</v>
      </c>
      <c r="F58" s="174">
        <v>24925.264877843918</v>
      </c>
      <c r="G58" s="174">
        <v>16907.56714145291</v>
      </c>
      <c r="H58" s="174">
        <v>31391.500096811196</v>
      </c>
      <c r="I58" s="174">
        <v>25104.899764253732</v>
      </c>
      <c r="J58" s="174">
        <v>47556.54770776436</v>
      </c>
      <c r="K58" s="174">
        <v>27399.912420973305</v>
      </c>
      <c r="L58" s="174">
        <v>17856.045156777403</v>
      </c>
      <c r="M58" s="174">
        <v>20520.56788418483</v>
      </c>
      <c r="N58" s="174">
        <v>26080.441439000573</v>
      </c>
      <c r="O58" s="174">
        <v>25067.339199530557</v>
      </c>
      <c r="P58" s="174">
        <f>(B58*pop_oecd_long_past!B58+C58*pop_oecd_long_past!C58+D58*pop_oecd_long_past!D58+E58*pop_oecd_long_past!E58+F58*pop_oecd_long_past!F58+G58*pop_oecd_long_past!G58+H58*pop_oecd_long_past!H58+I58*pop_oecd_long_past!I58+J58*pop_oecd_long_past!J58+K58*pop_oecd_long_past!K58+L58*pop_oecd_long_past!L58+M58*pop_oecd_long_past!M58+N58*pop_oecd_long_past!N58+O58*pop_oecd_long_past!O58)/SUM(pop_oecd_long_past!B58:O58)</f>
        <v>24319.017802098922</v>
      </c>
      <c r="Q58" s="174">
        <v>34096.889154468874</v>
      </c>
      <c r="R58" s="174">
        <v>25613.727849632505</v>
      </c>
      <c r="T58" s="188">
        <f t="shared" si="2"/>
        <v>0.011043085778864068</v>
      </c>
      <c r="U58" s="188">
        <f t="shared" si="0"/>
        <v>0.012512949606637755</v>
      </c>
      <c r="V58" s="188">
        <f t="shared" si="1"/>
        <v>0.0018662777692096235</v>
      </c>
      <c r="X58" s="188">
        <f t="shared" si="4"/>
        <v>0.0180745986041054</v>
      </c>
      <c r="Y58" s="188">
        <f t="shared" si="3"/>
        <v>0.017327424936867536</v>
      </c>
      <c r="Z58" s="188">
        <f t="shared" si="5"/>
        <v>0.010346141748588803</v>
      </c>
      <c r="AA58" s="188"/>
    </row>
    <row r="60" spans="19:24" ht="12.75">
      <c r="S60" s="187" t="s">
        <v>460</v>
      </c>
      <c r="T60" s="172">
        <f>STDEV(T29:T58)</f>
        <v>0.01386370229131313</v>
      </c>
      <c r="W60" s="187" t="s">
        <v>460</v>
      </c>
      <c r="X60" s="189">
        <f>STDEV(X40:X58)</f>
        <v>0.0013134145109803899</v>
      </c>
    </row>
    <row r="61" spans="1:20" ht="12.75">
      <c r="A61" s="172" t="s">
        <v>417</v>
      </c>
      <c r="S61" s="201" t="s">
        <v>467</v>
      </c>
      <c r="T61" s="172">
        <f>STDEV(T29:T39)</f>
        <v>0.017983737024716166</v>
      </c>
    </row>
    <row r="62" spans="1:20" ht="12.75">
      <c r="A62" s="171" t="s">
        <v>420</v>
      </c>
      <c r="S62" s="187" t="s">
        <v>468</v>
      </c>
      <c r="T62" s="172">
        <f>STDEV(T48:T58)</f>
        <v>0.011986742773625004</v>
      </c>
    </row>
  </sheetData>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A1"/>
  <sheetViews>
    <sheetView workbookViewId="0" topLeftCell="A1">
      <selection activeCell="F9" sqref="F9"/>
    </sheetView>
  </sheetViews>
  <sheetFormatPr defaultColWidth="9.140625" defaultRowHeight="12.75"/>
  <sheetData/>
  <printOptions/>
  <pageMargins left="0.75" right="0.75" top="1" bottom="1" header="0.5" footer="0.5"/>
  <pageSetup orientation="portrait" paperSize="9"/>
  <drawing r:id="rId1"/>
</worksheet>
</file>

<file path=xl/worksheets/sheet52.xml><?xml version="1.0" encoding="utf-8"?>
<worksheet xmlns="http://schemas.openxmlformats.org/spreadsheetml/2006/main" xmlns:r="http://schemas.openxmlformats.org/officeDocument/2006/relationships">
  <dimension ref="A1:U61"/>
  <sheetViews>
    <sheetView workbookViewId="0" topLeftCell="C17">
      <selection activeCell="Q12" sqref="Q12"/>
    </sheetView>
  </sheetViews>
  <sheetFormatPr defaultColWidth="9.140625" defaultRowHeight="12.75"/>
  <cols>
    <col min="1" max="1" width="9.140625" style="190" customWidth="1"/>
    <col min="2" max="2" width="9.140625" style="191" customWidth="1"/>
    <col min="3" max="3" width="8.00390625" style="191" bestFit="1" customWidth="1"/>
    <col min="4" max="16" width="9.140625" style="191" customWidth="1"/>
    <col min="17" max="17" width="9.140625" style="172" customWidth="1"/>
    <col min="18" max="16384" width="9.140625" style="191" customWidth="1"/>
  </cols>
  <sheetData>
    <row r="1" spans="1:17" ht="12.75">
      <c r="A1" s="190" t="s">
        <v>398</v>
      </c>
      <c r="G1" s="199" t="s">
        <v>421</v>
      </c>
      <c r="L1" s="199" t="s">
        <v>437</v>
      </c>
      <c r="Q1" s="187" t="s">
        <v>430</v>
      </c>
    </row>
    <row r="2" spans="1:9" ht="12.75">
      <c r="A2" s="192" t="s">
        <v>432</v>
      </c>
      <c r="B2" s="193"/>
      <c r="C2" s="193"/>
      <c r="D2" s="193"/>
      <c r="E2" s="193"/>
      <c r="G2" s="193"/>
      <c r="H2" s="193"/>
      <c r="I2" s="193"/>
    </row>
    <row r="3" spans="1:21" ht="12.75">
      <c r="A3" s="194"/>
      <c r="B3" s="195" t="s">
        <v>162</v>
      </c>
      <c r="C3" s="195" t="s">
        <v>163</v>
      </c>
      <c r="D3" s="195" t="s">
        <v>164</v>
      </c>
      <c r="E3" s="195" t="s">
        <v>165</v>
      </c>
      <c r="G3" s="195" t="s">
        <v>162</v>
      </c>
      <c r="H3" s="195" t="s">
        <v>163</v>
      </c>
      <c r="I3" s="195" t="s">
        <v>164</v>
      </c>
      <c r="J3" s="195" t="s">
        <v>165</v>
      </c>
      <c r="L3" s="195" t="s">
        <v>162</v>
      </c>
      <c r="M3" s="195" t="s">
        <v>163</v>
      </c>
      <c r="N3" s="195" t="s">
        <v>164</v>
      </c>
      <c r="O3" s="195" t="s">
        <v>165</v>
      </c>
      <c r="R3" s="195" t="s">
        <v>162</v>
      </c>
      <c r="S3" s="195" t="s">
        <v>163</v>
      </c>
      <c r="T3" s="195" t="s">
        <v>164</v>
      </c>
      <c r="U3" s="195" t="s">
        <v>165</v>
      </c>
    </row>
    <row r="4" spans="1:21" ht="12.75">
      <c r="A4" s="194"/>
      <c r="B4" s="195"/>
      <c r="C4" s="195" t="s">
        <v>166</v>
      </c>
      <c r="D4" s="195"/>
      <c r="E4" s="195"/>
      <c r="G4" s="195"/>
      <c r="H4" s="195" t="s">
        <v>166</v>
      </c>
      <c r="I4" s="195"/>
      <c r="J4" s="195"/>
      <c r="L4" s="195"/>
      <c r="M4" s="195" t="s">
        <v>166</v>
      </c>
      <c r="N4" s="195"/>
      <c r="O4" s="195"/>
      <c r="R4" s="195"/>
      <c r="S4" s="195" t="s">
        <v>166</v>
      </c>
      <c r="T4" s="195"/>
      <c r="U4" s="195"/>
    </row>
    <row r="5" spans="1:21" ht="12.75">
      <c r="A5" s="196"/>
      <c r="B5" s="197" t="s">
        <v>433</v>
      </c>
      <c r="C5" s="197" t="s">
        <v>434</v>
      </c>
      <c r="D5" s="197" t="s">
        <v>435</v>
      </c>
      <c r="E5" s="197" t="s">
        <v>436</v>
      </c>
      <c r="G5" s="198"/>
      <c r="Q5" s="187" t="s">
        <v>425</v>
      </c>
      <c r="R5" s="200">
        <f>AVERAGE(G9:G18)</f>
        <v>0.05780060844493554</v>
      </c>
      <c r="S5" s="200">
        <f>AVERAGE(H9:H18)</f>
        <v>0.03992316381199871</v>
      </c>
      <c r="T5" s="200">
        <f>AVERAGE(I9:I18)</f>
        <v>0.037454198479974124</v>
      </c>
      <c r="U5" s="200">
        <f>AVERAGE(J9:J18)</f>
        <v>0.028776775486065952</v>
      </c>
    </row>
    <row r="6" spans="1:21" ht="12.75">
      <c r="A6" s="190">
        <v>1950</v>
      </c>
      <c r="B6" s="193">
        <v>2138.0048864947503</v>
      </c>
      <c r="C6" s="193">
        <v>5318.639847154643</v>
      </c>
      <c r="D6" s="193">
        <v>4173.995247627306</v>
      </c>
      <c r="E6" s="193">
        <v>3302.020239183911</v>
      </c>
      <c r="Q6" s="187" t="s">
        <v>426</v>
      </c>
      <c r="R6" s="200">
        <f>AVERAGE(G19:G28)</f>
        <v>0.04499443801056006</v>
      </c>
      <c r="S6" s="200">
        <f>AVERAGE(H19:H28)</f>
        <v>0.026217790040427236</v>
      </c>
      <c r="T6" s="200">
        <f>AVERAGE(I19:I28)</f>
        <v>0.030455453536054784</v>
      </c>
      <c r="U6" s="200">
        <f>AVERAGE(J19:J28)</f>
        <v>0.04160784239775995</v>
      </c>
    </row>
    <row r="7" spans="1:21" ht="12.75">
      <c r="A7" s="190">
        <v>1951</v>
      </c>
      <c r="B7" s="193">
        <v>2575.1834756100507</v>
      </c>
      <c r="C7" s="193">
        <v>5353.724684857514</v>
      </c>
      <c r="D7" s="193">
        <v>4535.877007366133</v>
      </c>
      <c r="E7" s="193">
        <v>3387.503133067105</v>
      </c>
      <c r="G7" s="200">
        <f>(B7-B6)/B6</f>
        <v>0.20447969594309617</v>
      </c>
      <c r="H7" s="200">
        <f aca="true" t="shared" si="0" ref="H7:H58">(C7-C6)/C6</f>
        <v>0.006596580838546741</v>
      </c>
      <c r="I7" s="200">
        <f aca="true" t="shared" si="1" ref="I7:I58">(D7-D6)/D6</f>
        <v>0.08669913075357177</v>
      </c>
      <c r="J7" s="200">
        <f aca="true" t="shared" si="2" ref="J7:J58">(E7-E6)/E6</f>
        <v>0.025888058731075726</v>
      </c>
      <c r="Q7" s="187" t="s">
        <v>427</v>
      </c>
      <c r="R7" s="200">
        <f>AVERAGE(G29:G38)</f>
        <v>0.022664678424065755</v>
      </c>
      <c r="S7" s="200">
        <f>AVERAGE(H29:H38)</f>
        <v>0.01617960433969235</v>
      </c>
      <c r="T7" s="200">
        <f>AVERAGE(I29:I38)</f>
        <v>0.021413654645064183</v>
      </c>
      <c r="U7" s="200">
        <f>AVERAGE(J29:J38)</f>
        <v>0.006164691435637579</v>
      </c>
    </row>
    <row r="8" spans="1:21" ht="12.75">
      <c r="A8" s="190">
        <v>1952</v>
      </c>
      <c r="B8" s="193">
        <v>2451.673458281902</v>
      </c>
      <c r="C8" s="193">
        <v>5466.011351959766</v>
      </c>
      <c r="D8" s="193">
        <v>4648.679707023827</v>
      </c>
      <c r="E8" s="193">
        <v>3402.3082617193663</v>
      </c>
      <c r="G8" s="200">
        <f aca="true" t="shared" si="3" ref="G8:G58">(B8-B7)/B7</f>
        <v>-0.047961637878594046</v>
      </c>
      <c r="H8" s="200">
        <f t="shared" si="0"/>
        <v>0.020973560224313348</v>
      </c>
      <c r="I8" s="200">
        <f t="shared" si="1"/>
        <v>0.02486899434762148</v>
      </c>
      <c r="J8" s="200">
        <f t="shared" si="2"/>
        <v>0.004370513641077152</v>
      </c>
      <c r="Q8" s="187" t="s">
        <v>428</v>
      </c>
      <c r="R8" s="200">
        <f>AVERAGE(G39:G48)</f>
        <v>-0.025432022493359185</v>
      </c>
      <c r="S8" s="200">
        <f>AVERAGE(H39:H48)</f>
        <v>-0.009128113404939832</v>
      </c>
      <c r="T8" s="200">
        <f>AVERAGE(I39:I48)</f>
        <v>-0.016269290844912358</v>
      </c>
      <c r="U8" s="200">
        <f>AVERAGE(J39:J48)</f>
        <v>-0.007765340421436155</v>
      </c>
    </row>
    <row r="9" spans="1:21" ht="12.75">
      <c r="A9" s="190">
        <v>1953</v>
      </c>
      <c r="B9" s="193">
        <v>2700.0702892204577</v>
      </c>
      <c r="C9" s="193">
        <v>5384.849048427357</v>
      </c>
      <c r="D9" s="193">
        <v>4688.258517272597</v>
      </c>
      <c r="E9" s="193">
        <v>3532.4523627761264</v>
      </c>
      <c r="G9" s="200">
        <f t="shared" si="3"/>
        <v>0.10131725744285229</v>
      </c>
      <c r="H9" s="200">
        <f t="shared" si="0"/>
        <v>-0.014848542805040003</v>
      </c>
      <c r="I9" s="200">
        <f t="shared" si="1"/>
        <v>0.008513989507379638</v>
      </c>
      <c r="J9" s="200">
        <f t="shared" si="2"/>
        <v>0.03825170767771388</v>
      </c>
      <c r="Q9" s="187" t="s">
        <v>429</v>
      </c>
      <c r="R9" s="200">
        <f>AVERAGE(G49:G58)</f>
        <v>0.021666459423137344</v>
      </c>
      <c r="S9" s="200">
        <f>AVERAGE(H49:H58)</f>
        <v>0.02502509501045804</v>
      </c>
      <c r="T9" s="200">
        <f>AVERAGE(I49:I58)</f>
        <v>0.03399502519149498</v>
      </c>
      <c r="U9" s="200">
        <f>AVERAGE(J49:J58)</f>
        <v>0.043329581859699026</v>
      </c>
    </row>
    <row r="10" spans="1:10" ht="12.75">
      <c r="A10" s="190">
        <v>1954</v>
      </c>
      <c r="B10" s="193">
        <v>2621.8827527051817</v>
      </c>
      <c r="C10" s="193">
        <v>5547.9509139504335</v>
      </c>
      <c r="D10" s="193">
        <v>4797.21153773075</v>
      </c>
      <c r="E10" s="193">
        <v>3663.5191273417045</v>
      </c>
      <c r="G10" s="200">
        <f t="shared" si="3"/>
        <v>-0.028957593003199045</v>
      </c>
      <c r="H10" s="200">
        <f t="shared" si="0"/>
        <v>0.0302890320705852</v>
      </c>
      <c r="I10" s="200">
        <f t="shared" si="1"/>
        <v>0.023239550476311394</v>
      </c>
      <c r="J10" s="200">
        <f t="shared" si="2"/>
        <v>0.03710361842291731</v>
      </c>
    </row>
    <row r="11" spans="1:21" ht="12.75">
      <c r="A11" s="190">
        <v>1955</v>
      </c>
      <c r="B11" s="193">
        <v>2781.2741904324316</v>
      </c>
      <c r="C11" s="193">
        <v>5958.658414211886</v>
      </c>
      <c r="D11" s="193">
        <v>5167.374495386486</v>
      </c>
      <c r="E11" s="193">
        <v>3770.1362333470934</v>
      </c>
      <c r="G11" s="200">
        <f t="shared" si="3"/>
        <v>0.060792740469723335</v>
      </c>
      <c r="H11" s="200">
        <f t="shared" si="0"/>
        <v>0.07402868313573588</v>
      </c>
      <c r="I11" s="200">
        <f t="shared" si="1"/>
        <v>0.07716210860087197</v>
      </c>
      <c r="J11" s="200">
        <f t="shared" si="2"/>
        <v>0.02910237460197229</v>
      </c>
      <c r="Q11" s="187" t="s">
        <v>431</v>
      </c>
      <c r="R11" s="200">
        <f>AVERAGE(G28:G58)</f>
        <v>0.0074676029629730896</v>
      </c>
      <c r="S11" s="200">
        <f>AVERAGE(H28:H58)</f>
        <v>0.011316536401553142</v>
      </c>
      <c r="T11" s="200">
        <f>AVERAGE(I28:I58)</f>
        <v>0.013226795133069739</v>
      </c>
      <c r="U11" s="200">
        <f>AVERAGE(J28:J58)</f>
        <v>0.0155362941024426</v>
      </c>
    </row>
    <row r="12" spans="1:10" ht="12.75">
      <c r="A12" s="190">
        <v>1956</v>
      </c>
      <c r="B12" s="193">
        <v>2755.680702949296</v>
      </c>
      <c r="C12" s="193">
        <v>6244.592862655941</v>
      </c>
      <c r="D12" s="193">
        <v>4890.709137081671</v>
      </c>
      <c r="E12" s="193">
        <v>3864.4892424581144</v>
      </c>
      <c r="G12" s="200">
        <f t="shared" si="3"/>
        <v>-0.009202072766208009</v>
      </c>
      <c r="H12" s="200">
        <f t="shared" si="0"/>
        <v>0.04798638024996993</v>
      </c>
      <c r="I12" s="200">
        <f t="shared" si="1"/>
        <v>-0.053540798823817924</v>
      </c>
      <c r="J12" s="200">
        <f t="shared" si="2"/>
        <v>0.025026419012783335</v>
      </c>
    </row>
    <row r="13" spans="1:10" ht="12.75">
      <c r="A13" s="190">
        <v>1957</v>
      </c>
      <c r="B13" s="193">
        <v>3017.7631463607327</v>
      </c>
      <c r="C13" s="193">
        <v>6563.168861751877</v>
      </c>
      <c r="D13" s="193">
        <v>5334.460915336622</v>
      </c>
      <c r="E13" s="193">
        <v>3997.5354127021997</v>
      </c>
      <c r="G13" s="200">
        <f t="shared" si="3"/>
        <v>0.09510624475866891</v>
      </c>
      <c r="H13" s="200">
        <f t="shared" si="0"/>
        <v>0.05101629619459925</v>
      </c>
      <c r="I13" s="200">
        <f t="shared" si="1"/>
        <v>0.09073362692751379</v>
      </c>
      <c r="J13" s="200">
        <f t="shared" si="2"/>
        <v>0.034427879571339574</v>
      </c>
    </row>
    <row r="14" spans="1:10" ht="12.75">
      <c r="A14" s="190">
        <v>1958</v>
      </c>
      <c r="B14" s="193">
        <v>3247.8947161500782</v>
      </c>
      <c r="C14" s="193">
        <v>7004.099068365179</v>
      </c>
      <c r="D14" s="193">
        <v>5667.012861136514</v>
      </c>
      <c r="E14" s="193">
        <v>4125.239295449527</v>
      </c>
      <c r="G14" s="200">
        <f t="shared" si="3"/>
        <v>0.07625899006251449</v>
      </c>
      <c r="H14" s="200">
        <f t="shared" si="0"/>
        <v>0.06718251745477821</v>
      </c>
      <c r="I14" s="200">
        <f t="shared" si="1"/>
        <v>0.06234030974785152</v>
      </c>
      <c r="J14" s="200">
        <f t="shared" si="2"/>
        <v>0.03194565390003736</v>
      </c>
    </row>
    <row r="15" spans="1:10" ht="12.75">
      <c r="A15" s="190">
        <v>1959</v>
      </c>
      <c r="B15" s="193">
        <v>3475.039830897585</v>
      </c>
      <c r="C15" s="193">
        <v>7262.192170245283</v>
      </c>
      <c r="D15" s="193">
        <v>5864.081200557378</v>
      </c>
      <c r="E15" s="193">
        <v>4178.274532680885</v>
      </c>
      <c r="G15" s="200">
        <f t="shared" si="3"/>
        <v>0.06993610772480807</v>
      </c>
      <c r="H15" s="200">
        <f t="shared" si="0"/>
        <v>0.036848865123254915</v>
      </c>
      <c r="I15" s="200">
        <f t="shared" si="1"/>
        <v>0.034774641288063304</v>
      </c>
      <c r="J15" s="200">
        <f t="shared" si="2"/>
        <v>0.012856281401629328</v>
      </c>
    </row>
    <row r="16" spans="1:10" ht="12.75">
      <c r="A16" s="190">
        <v>1960</v>
      </c>
      <c r="B16" s="193">
        <v>3770.525978618872</v>
      </c>
      <c r="C16" s="193">
        <v>7761.246142528173</v>
      </c>
      <c r="D16" s="193">
        <v>6141.7700364795755</v>
      </c>
      <c r="E16" s="193">
        <v>4338.110448640016</v>
      </c>
      <c r="G16" s="200">
        <f t="shared" si="3"/>
        <v>0.08503101031937368</v>
      </c>
      <c r="H16" s="200">
        <f t="shared" si="0"/>
        <v>0.06871946659957831</v>
      </c>
      <c r="I16" s="200">
        <f t="shared" si="1"/>
        <v>0.047354193508746666</v>
      </c>
      <c r="J16" s="200">
        <f t="shared" si="2"/>
        <v>0.03825404834195426</v>
      </c>
    </row>
    <row r="17" spans="1:10" ht="12.75">
      <c r="A17" s="190">
        <v>1961</v>
      </c>
      <c r="B17" s="193">
        <v>3978.0790667642113</v>
      </c>
      <c r="C17" s="193">
        <v>7996.994172698009</v>
      </c>
      <c r="D17" s="193">
        <v>6423.059084421794</v>
      </c>
      <c r="E17" s="193">
        <v>4623.583420352558</v>
      </c>
      <c r="G17" s="200">
        <f t="shared" si="3"/>
        <v>0.05504618966220862</v>
      </c>
      <c r="H17" s="200">
        <f t="shared" si="0"/>
        <v>0.03037502301055005</v>
      </c>
      <c r="I17" s="200">
        <f t="shared" si="1"/>
        <v>0.045799345509759865</v>
      </c>
      <c r="J17" s="200">
        <f t="shared" si="2"/>
        <v>0.06580583299856664</v>
      </c>
    </row>
    <row r="18" spans="1:15" ht="12.75">
      <c r="A18" s="190">
        <v>1962</v>
      </c>
      <c r="B18" s="193">
        <v>4267.194753615343</v>
      </c>
      <c r="C18" s="193">
        <v>8058.042563149414</v>
      </c>
      <c r="D18" s="193">
        <v>6668.1952503603225</v>
      </c>
      <c r="E18" s="193">
        <v>4507.965810989053</v>
      </c>
      <c r="G18" s="200">
        <f t="shared" si="3"/>
        <v>0.072677209778613</v>
      </c>
      <c r="H18" s="200">
        <f t="shared" si="0"/>
        <v>0.007633917085975381</v>
      </c>
      <c r="I18" s="200">
        <f t="shared" si="1"/>
        <v>0.03816501805706114</v>
      </c>
      <c r="J18" s="200">
        <f t="shared" si="2"/>
        <v>-0.025006061068254464</v>
      </c>
      <c r="L18" s="200">
        <f>AVERAGE(G7:G18)</f>
        <v>0.06121034520948813</v>
      </c>
      <c r="M18" s="200">
        <f aca="true" t="shared" si="4" ref="M18:M58">AVERAGE(H7:H18)</f>
        <v>0.03556681493190394</v>
      </c>
      <c r="N18" s="200">
        <f aca="true" t="shared" si="5" ref="N18:N58">AVERAGE(I7:I18)</f>
        <v>0.04050917582507788</v>
      </c>
      <c r="O18" s="200">
        <f aca="true" t="shared" si="6" ref="O18:O58">AVERAGE(J7:J18)</f>
        <v>0.0265021939360677</v>
      </c>
    </row>
    <row r="19" spans="1:15" ht="12.75">
      <c r="A19" s="190">
        <v>1963</v>
      </c>
      <c r="B19" s="193">
        <v>4426.146152222368</v>
      </c>
      <c r="C19" s="193">
        <v>7854.503246386768</v>
      </c>
      <c r="D19" s="193">
        <v>7014.547927097296</v>
      </c>
      <c r="E19" s="193">
        <v>4726.411679470275</v>
      </c>
      <c r="G19" s="200">
        <f t="shared" si="3"/>
        <v>0.03724962364849998</v>
      </c>
      <c r="H19" s="200">
        <f t="shared" si="0"/>
        <v>-0.02525915135934623</v>
      </c>
      <c r="I19" s="200">
        <f t="shared" si="1"/>
        <v>0.05194099208751551</v>
      </c>
      <c r="J19" s="200">
        <f t="shared" si="2"/>
        <v>0.04845774738324697</v>
      </c>
      <c r="L19" s="200">
        <f aca="true" t="shared" si="7" ref="L19:L58">AVERAGE(G8:G19)</f>
        <v>0.04727450585160511</v>
      </c>
      <c r="M19" s="200">
        <f t="shared" si="4"/>
        <v>0.03291217058207952</v>
      </c>
      <c r="N19" s="200">
        <f t="shared" si="5"/>
        <v>0.037612664269573194</v>
      </c>
      <c r="O19" s="200">
        <f t="shared" si="6"/>
        <v>0.02838300132374864</v>
      </c>
    </row>
    <row r="20" spans="1:15" ht="12.75">
      <c r="A20" s="190">
        <v>1964</v>
      </c>
      <c r="B20" s="193">
        <v>4736.133720428512</v>
      </c>
      <c r="C20" s="193">
        <v>8162.555064348973</v>
      </c>
      <c r="D20" s="193">
        <v>7385.427050311264</v>
      </c>
      <c r="E20" s="193">
        <v>4887.646445358305</v>
      </c>
      <c r="G20" s="200">
        <f t="shared" si="3"/>
        <v>0.07003554730123383</v>
      </c>
      <c r="H20" s="200">
        <f t="shared" si="0"/>
        <v>0.039219770913445744</v>
      </c>
      <c r="I20" s="200">
        <f t="shared" si="1"/>
        <v>0.05287284755461663</v>
      </c>
      <c r="J20" s="200">
        <f t="shared" si="2"/>
        <v>0.03411356792900035</v>
      </c>
      <c r="L20" s="200">
        <f t="shared" si="7"/>
        <v>0.057107604616590764</v>
      </c>
      <c r="M20" s="200">
        <f t="shared" si="4"/>
        <v>0.034432688139507214</v>
      </c>
      <c r="N20" s="200">
        <f t="shared" si="5"/>
        <v>0.03994631870348945</v>
      </c>
      <c r="O20" s="200">
        <f t="shared" si="6"/>
        <v>0.03086158918107557</v>
      </c>
    </row>
    <row r="21" spans="1:15" ht="12.75">
      <c r="A21" s="190">
        <v>1965</v>
      </c>
      <c r="B21" s="193">
        <v>4985.5092026911925</v>
      </c>
      <c r="C21" s="193">
        <v>8406.025204881842</v>
      </c>
      <c r="D21" s="193">
        <v>7421.637241814258</v>
      </c>
      <c r="E21" s="193">
        <v>5110.243570357368</v>
      </c>
      <c r="G21" s="200">
        <f t="shared" si="3"/>
        <v>0.052653809411470305</v>
      </c>
      <c r="H21" s="200">
        <f t="shared" si="0"/>
        <v>0.02982768736179881</v>
      </c>
      <c r="I21" s="200">
        <f t="shared" si="1"/>
        <v>0.004902924537243685</v>
      </c>
      <c r="J21" s="200">
        <f t="shared" si="2"/>
        <v>0.045542804187577696</v>
      </c>
      <c r="L21" s="200">
        <f t="shared" si="7"/>
        <v>0.05305231728064227</v>
      </c>
      <c r="M21" s="200">
        <f t="shared" si="4"/>
        <v>0.038155707320077115</v>
      </c>
      <c r="N21" s="200">
        <f t="shared" si="5"/>
        <v>0.03964539662264479</v>
      </c>
      <c r="O21" s="200">
        <f t="shared" si="6"/>
        <v>0.03146918055689755</v>
      </c>
    </row>
    <row r="22" spans="1:15" ht="12.75">
      <c r="A22" s="190">
        <v>1966</v>
      </c>
      <c r="B22" s="193">
        <v>5342.048845078549</v>
      </c>
      <c r="C22" s="193">
        <v>8721.91793498597</v>
      </c>
      <c r="D22" s="193">
        <v>7819.891246185693</v>
      </c>
      <c r="E22" s="193">
        <v>5386.287196640485</v>
      </c>
      <c r="G22" s="200">
        <f t="shared" si="3"/>
        <v>0.07151519090465125</v>
      </c>
      <c r="H22" s="200">
        <f t="shared" si="0"/>
        <v>0.037579322260498496</v>
      </c>
      <c r="I22" s="200">
        <f t="shared" si="1"/>
        <v>0.053661205930091924</v>
      </c>
      <c r="J22" s="200">
        <f t="shared" si="2"/>
        <v>0.054017704338858365</v>
      </c>
      <c r="L22" s="200">
        <f t="shared" si="7"/>
        <v>0.06142504927296313</v>
      </c>
      <c r="M22" s="200">
        <f t="shared" si="4"/>
        <v>0.03876323150256989</v>
      </c>
      <c r="N22" s="200">
        <f t="shared" si="5"/>
        <v>0.0421805345771265</v>
      </c>
      <c r="O22" s="200">
        <f t="shared" si="6"/>
        <v>0.03287868771655931</v>
      </c>
    </row>
    <row r="23" spans="1:15" ht="12.75">
      <c r="A23" s="190">
        <v>1967</v>
      </c>
      <c r="B23" s="193">
        <v>5593.856903881584</v>
      </c>
      <c r="C23" s="193">
        <v>9061.696373842256</v>
      </c>
      <c r="D23" s="193">
        <v>8236.943497577193</v>
      </c>
      <c r="E23" s="193">
        <v>5536.765847062618</v>
      </c>
      <c r="G23" s="200">
        <f t="shared" si="3"/>
        <v>0.047136981728465026</v>
      </c>
      <c r="H23" s="200">
        <f t="shared" si="0"/>
        <v>0.03895684887074478</v>
      </c>
      <c r="I23" s="200">
        <f t="shared" si="1"/>
        <v>0.05333223164643444</v>
      </c>
      <c r="J23" s="200">
        <f t="shared" si="2"/>
        <v>0.02793736110395112</v>
      </c>
      <c r="L23" s="200">
        <f t="shared" si="7"/>
        <v>0.06028706937785827</v>
      </c>
      <c r="M23" s="200">
        <f t="shared" si="4"/>
        <v>0.03584057864715397</v>
      </c>
      <c r="N23" s="200">
        <f t="shared" si="5"/>
        <v>0.04019471149759005</v>
      </c>
      <c r="O23" s="200">
        <f t="shared" si="6"/>
        <v>0.03278160325839088</v>
      </c>
    </row>
    <row r="24" spans="1:15" ht="12.75">
      <c r="A24" s="190">
        <v>1968</v>
      </c>
      <c r="B24" s="193">
        <v>5656.38926289982</v>
      </c>
      <c r="C24" s="193">
        <v>9454.071122008541</v>
      </c>
      <c r="D24" s="193">
        <v>8304.540168541122</v>
      </c>
      <c r="E24" s="193">
        <v>5826.293129934946</v>
      </c>
      <c r="G24" s="200">
        <f t="shared" si="3"/>
        <v>0.011178755569318338</v>
      </c>
      <c r="H24" s="200">
        <f t="shared" si="0"/>
        <v>0.04330036363819524</v>
      </c>
      <c r="I24" s="200">
        <f t="shared" si="1"/>
        <v>0.008206523570765248</v>
      </c>
      <c r="J24" s="200">
        <f t="shared" si="2"/>
        <v>0.052291769395653276</v>
      </c>
      <c r="L24" s="200">
        <f t="shared" si="7"/>
        <v>0.06198547173915212</v>
      </c>
      <c r="M24" s="200">
        <f t="shared" si="4"/>
        <v>0.035450077262839406</v>
      </c>
      <c r="N24" s="200">
        <f t="shared" si="5"/>
        <v>0.04534032169713864</v>
      </c>
      <c r="O24" s="200">
        <f t="shared" si="6"/>
        <v>0.03505371579029671</v>
      </c>
    </row>
    <row r="25" spans="1:15" ht="12.75">
      <c r="A25" s="190">
        <v>1969</v>
      </c>
      <c r="B25" s="193">
        <v>5886.518563712891</v>
      </c>
      <c r="C25" s="193">
        <v>9653.691930650912</v>
      </c>
      <c r="D25" s="193">
        <v>8520.077547782377</v>
      </c>
      <c r="E25" s="193">
        <v>5723.483963031211</v>
      </c>
      <c r="G25" s="200">
        <f t="shared" si="3"/>
        <v>0.04068484153353545</v>
      </c>
      <c r="H25" s="200">
        <f t="shared" si="0"/>
        <v>0.021114798700600464</v>
      </c>
      <c r="I25" s="200">
        <f t="shared" si="1"/>
        <v>0.025954161803894264</v>
      </c>
      <c r="J25" s="200">
        <f t="shared" si="2"/>
        <v>-0.017645725096719054</v>
      </c>
      <c r="L25" s="200">
        <f t="shared" si="7"/>
        <v>0.057450354803724346</v>
      </c>
      <c r="M25" s="200">
        <f t="shared" si="4"/>
        <v>0.032958285805006184</v>
      </c>
      <c r="N25" s="200">
        <f t="shared" si="5"/>
        <v>0.03994203293683702</v>
      </c>
      <c r="O25" s="200">
        <f t="shared" si="6"/>
        <v>0.030714248734625155</v>
      </c>
    </row>
    <row r="26" spans="1:15" ht="12.75">
      <c r="A26" s="190">
        <v>1970</v>
      </c>
      <c r="B26" s="193">
        <v>6181.091926407767</v>
      </c>
      <c r="C26" s="193">
        <v>9824.53527153589</v>
      </c>
      <c r="D26" s="193">
        <v>8462.43923706795</v>
      </c>
      <c r="E26" s="193">
        <v>5975.199220312853</v>
      </c>
      <c r="G26" s="200">
        <f t="shared" si="3"/>
        <v>0.05004203409987639</v>
      </c>
      <c r="H26" s="200">
        <f t="shared" si="0"/>
        <v>0.017697202491260614</v>
      </c>
      <c r="I26" s="200">
        <f t="shared" si="1"/>
        <v>-0.006764998368991227</v>
      </c>
      <c r="J26" s="200">
        <f t="shared" si="2"/>
        <v>0.04397937670612977</v>
      </c>
      <c r="L26" s="200">
        <f t="shared" si="7"/>
        <v>0.0552656084735045</v>
      </c>
      <c r="M26" s="200">
        <f t="shared" si="4"/>
        <v>0.02883450955804638</v>
      </c>
      <c r="N26" s="200">
        <f t="shared" si="5"/>
        <v>0.034183257260433454</v>
      </c>
      <c r="O26" s="200">
        <f t="shared" si="6"/>
        <v>0.03171705896846619</v>
      </c>
    </row>
    <row r="27" spans="1:15" ht="12.75">
      <c r="A27" s="190">
        <v>1971</v>
      </c>
      <c r="B27" s="193">
        <v>6347.629442179869</v>
      </c>
      <c r="C27" s="193">
        <v>10116.267856572184</v>
      </c>
      <c r="D27" s="193">
        <v>8816.269793495352</v>
      </c>
      <c r="E27" s="193">
        <v>6351.923757580313</v>
      </c>
      <c r="G27" s="200">
        <f t="shared" si="3"/>
        <v>0.026943057594823464</v>
      </c>
      <c r="H27" s="200">
        <f t="shared" si="0"/>
        <v>0.029694288531032665</v>
      </c>
      <c r="I27" s="200">
        <f t="shared" si="1"/>
        <v>0.041811887390283464</v>
      </c>
      <c r="J27" s="200">
        <f t="shared" si="2"/>
        <v>0.06304802959318484</v>
      </c>
      <c r="L27" s="200">
        <f t="shared" si="7"/>
        <v>0.05168285429600578</v>
      </c>
      <c r="M27" s="200">
        <f t="shared" si="4"/>
        <v>0.02823829484202786</v>
      </c>
      <c r="N27" s="200">
        <f t="shared" si="5"/>
        <v>0.03476969443561847</v>
      </c>
      <c r="O27" s="200">
        <f t="shared" si="6"/>
        <v>0.035899704651095814</v>
      </c>
    </row>
    <row r="28" spans="1:15" ht="12.75">
      <c r="A28" s="190">
        <v>1972</v>
      </c>
      <c r="B28" s="193">
        <v>6617.432501006342</v>
      </c>
      <c r="C28" s="193">
        <v>10420.22901996069</v>
      </c>
      <c r="D28" s="193">
        <v>8980.576490755606</v>
      </c>
      <c r="E28" s="193">
        <v>6760.579780614151</v>
      </c>
      <c r="G28" s="200">
        <f t="shared" si="3"/>
        <v>0.042504538313726525</v>
      </c>
      <c r="H28" s="200">
        <f t="shared" si="0"/>
        <v>0.030046768996041764</v>
      </c>
      <c r="I28" s="200">
        <f t="shared" si="1"/>
        <v>0.018636759208693825</v>
      </c>
      <c r="J28" s="200">
        <f t="shared" si="2"/>
        <v>0.06433578843671617</v>
      </c>
      <c r="L28" s="200">
        <f t="shared" si="7"/>
        <v>0.04813898162886852</v>
      </c>
      <c r="M28" s="200">
        <f t="shared" si="4"/>
        <v>0.025015570041733146</v>
      </c>
      <c r="N28" s="200">
        <f t="shared" si="5"/>
        <v>0.03237657491061406</v>
      </c>
      <c r="O28" s="200">
        <f t="shared" si="6"/>
        <v>0.03807318299232597</v>
      </c>
    </row>
    <row r="29" spans="1:15" ht="12.75">
      <c r="A29" s="190">
        <v>1973</v>
      </c>
      <c r="B29" s="193">
        <v>6843.003007527311</v>
      </c>
      <c r="C29" s="193">
        <v>10698.04494557025</v>
      </c>
      <c r="D29" s="193">
        <v>9417.753074127033</v>
      </c>
      <c r="E29" s="193">
        <v>7205.581974499429</v>
      </c>
      <c r="G29" s="200">
        <f t="shared" si="3"/>
        <v>0.03408731505559975</v>
      </c>
      <c r="H29" s="200">
        <f t="shared" si="0"/>
        <v>0.02666121109981196</v>
      </c>
      <c r="I29" s="200">
        <f t="shared" si="1"/>
        <v>0.048680236042913994</v>
      </c>
      <c r="J29" s="200">
        <f t="shared" si="2"/>
        <v>0.06582308149980186</v>
      </c>
      <c r="L29" s="200">
        <f t="shared" si="7"/>
        <v>0.04639240874498444</v>
      </c>
      <c r="M29" s="200">
        <f t="shared" si="4"/>
        <v>0.024706085715838304</v>
      </c>
      <c r="N29" s="200">
        <f t="shared" si="5"/>
        <v>0.032616649121710244</v>
      </c>
      <c r="O29" s="200">
        <f t="shared" si="6"/>
        <v>0.03807462036742891</v>
      </c>
    </row>
    <row r="30" spans="1:15" ht="12.75">
      <c r="A30" s="190">
        <v>1974</v>
      </c>
      <c r="B30" s="193">
        <v>7010.694502889173</v>
      </c>
      <c r="C30" s="193">
        <v>11004.295392266067</v>
      </c>
      <c r="D30" s="193">
        <v>9620.237187675797</v>
      </c>
      <c r="E30" s="193">
        <v>7557.879985788658</v>
      </c>
      <c r="G30" s="200">
        <f t="shared" si="3"/>
        <v>0.02450554167189488</v>
      </c>
      <c r="H30" s="200">
        <f t="shared" si="0"/>
        <v>0.028626767624735722</v>
      </c>
      <c r="I30" s="200">
        <f t="shared" si="1"/>
        <v>0.021500257222185994</v>
      </c>
      <c r="J30" s="200">
        <f t="shared" si="2"/>
        <v>0.048892374347556194</v>
      </c>
      <c r="L30" s="200">
        <f t="shared" si="7"/>
        <v>0.0423781030694246</v>
      </c>
      <c r="M30" s="200">
        <f t="shared" si="4"/>
        <v>0.026455489927401668</v>
      </c>
      <c r="N30" s="200">
        <f t="shared" si="5"/>
        <v>0.03122791905213732</v>
      </c>
      <c r="O30" s="200">
        <f t="shared" si="6"/>
        <v>0.04423282331874646</v>
      </c>
    </row>
    <row r="31" spans="1:15" ht="12.75">
      <c r="A31" s="190">
        <v>1975</v>
      </c>
      <c r="B31" s="193">
        <v>7550.612916866932</v>
      </c>
      <c r="C31" s="193">
        <v>11242.057726135688</v>
      </c>
      <c r="D31" s="193">
        <v>9769.94903439134</v>
      </c>
      <c r="E31" s="193">
        <v>7837.5745278977265</v>
      </c>
      <c r="G31" s="200">
        <f t="shared" si="3"/>
        <v>0.07701354177610414</v>
      </c>
      <c r="H31" s="200">
        <f t="shared" si="0"/>
        <v>0.02160632056794141</v>
      </c>
      <c r="I31" s="200">
        <f t="shared" si="1"/>
        <v>0.015562178332498365</v>
      </c>
      <c r="J31" s="200">
        <f t="shared" si="2"/>
        <v>0.03700701025088886</v>
      </c>
      <c r="L31" s="200">
        <f t="shared" si="7"/>
        <v>0.045691762913391616</v>
      </c>
      <c r="M31" s="200">
        <f t="shared" si="4"/>
        <v>0.030360945921342305</v>
      </c>
      <c r="N31" s="200">
        <f t="shared" si="5"/>
        <v>0.02819635123921922</v>
      </c>
      <c r="O31" s="200">
        <f t="shared" si="6"/>
        <v>0.043278595224383286</v>
      </c>
    </row>
    <row r="32" spans="1:15" ht="12.75">
      <c r="A32" s="190">
        <v>1976</v>
      </c>
      <c r="B32" s="193">
        <v>7746.210209201845</v>
      </c>
      <c r="C32" s="193">
        <v>11335.999176541603</v>
      </c>
      <c r="D32" s="193">
        <v>9746.198116547599</v>
      </c>
      <c r="E32" s="193">
        <v>7955.700239078685</v>
      </c>
      <c r="G32" s="200">
        <f t="shared" si="3"/>
        <v>0.025904823156538432</v>
      </c>
      <c r="H32" s="200">
        <f t="shared" si="0"/>
        <v>0.008356250492071275</v>
      </c>
      <c r="I32" s="200">
        <f t="shared" si="1"/>
        <v>-0.002431017578508886</v>
      </c>
      <c r="J32" s="200">
        <f t="shared" si="2"/>
        <v>0.015071717756621203</v>
      </c>
      <c r="L32" s="200">
        <f t="shared" si="7"/>
        <v>0.042014202568000335</v>
      </c>
      <c r="M32" s="200">
        <f t="shared" si="4"/>
        <v>0.027788985886227763</v>
      </c>
      <c r="N32" s="200">
        <f t="shared" si="5"/>
        <v>0.023587695811458757</v>
      </c>
      <c r="O32" s="200">
        <f t="shared" si="6"/>
        <v>0.04169177437668503</v>
      </c>
    </row>
    <row r="33" spans="1:15" ht="12.75">
      <c r="A33" s="190">
        <v>1977</v>
      </c>
      <c r="B33" s="193">
        <v>7635.245176463051</v>
      </c>
      <c r="C33" s="193">
        <v>11765.008135770284</v>
      </c>
      <c r="D33" s="193">
        <v>10310.779404089504</v>
      </c>
      <c r="E33" s="193">
        <v>8028.5384020390275</v>
      </c>
      <c r="G33" s="200">
        <f t="shared" si="3"/>
        <v>-0.014325073776977601</v>
      </c>
      <c r="H33" s="200">
        <f t="shared" si="0"/>
        <v>0.037844829780550746</v>
      </c>
      <c r="I33" s="200">
        <f t="shared" si="1"/>
        <v>0.05792836147906021</v>
      </c>
      <c r="J33" s="200">
        <f t="shared" si="2"/>
        <v>0.00915546850327003</v>
      </c>
      <c r="L33" s="200">
        <f t="shared" si="7"/>
        <v>0.036432628968963</v>
      </c>
      <c r="M33" s="200">
        <f t="shared" si="4"/>
        <v>0.028457081087790433</v>
      </c>
      <c r="N33" s="200">
        <f t="shared" si="5"/>
        <v>0.0280064822232768</v>
      </c>
      <c r="O33" s="200">
        <f t="shared" si="6"/>
        <v>0.03865949640299272</v>
      </c>
    </row>
    <row r="34" spans="1:15" ht="12.75">
      <c r="A34" s="190">
        <v>1978</v>
      </c>
      <c r="B34" s="193">
        <v>7794.60292535645</v>
      </c>
      <c r="C34" s="193">
        <v>11830.198656500443</v>
      </c>
      <c r="D34" s="193">
        <v>10524.86396408981</v>
      </c>
      <c r="E34" s="193">
        <v>8246.434298829923</v>
      </c>
      <c r="G34" s="200">
        <f t="shared" si="3"/>
        <v>0.020871333560400433</v>
      </c>
      <c r="H34" s="200">
        <f t="shared" si="0"/>
        <v>0.005541051903904241</v>
      </c>
      <c r="I34" s="200">
        <f t="shared" si="1"/>
        <v>0.02076317915553461</v>
      </c>
      <c r="J34" s="200">
        <f t="shared" si="2"/>
        <v>0.02714016996363325</v>
      </c>
      <c r="L34" s="200">
        <f t="shared" si="7"/>
        <v>0.03221230752360877</v>
      </c>
      <c r="M34" s="200">
        <f t="shared" si="4"/>
        <v>0.025787225224740907</v>
      </c>
      <c r="N34" s="200">
        <f t="shared" si="5"/>
        <v>0.02526497999206369</v>
      </c>
      <c r="O34" s="200">
        <f t="shared" si="6"/>
        <v>0.03641970187172396</v>
      </c>
    </row>
    <row r="35" spans="1:15" ht="12.75">
      <c r="A35" s="190">
        <v>1979</v>
      </c>
      <c r="B35" s="193">
        <v>8086.966498447176</v>
      </c>
      <c r="C35" s="193">
        <v>11857.477563637758</v>
      </c>
      <c r="D35" s="193">
        <v>10521.034542230513</v>
      </c>
      <c r="E35" s="193">
        <v>8018.695187530248</v>
      </c>
      <c r="G35" s="200">
        <f t="shared" si="3"/>
        <v>0.03750846270047239</v>
      </c>
      <c r="H35" s="200">
        <f t="shared" si="0"/>
        <v>0.0023058705884305857</v>
      </c>
      <c r="I35" s="200">
        <f t="shared" si="1"/>
        <v>-0.0003638452594127571</v>
      </c>
      <c r="J35" s="200">
        <f t="shared" si="2"/>
        <v>-0.02761667686262757</v>
      </c>
      <c r="L35" s="200">
        <f t="shared" si="7"/>
        <v>0.03140993093794271</v>
      </c>
      <c r="M35" s="200">
        <f t="shared" si="4"/>
        <v>0.022732977034548057</v>
      </c>
      <c r="N35" s="200">
        <f t="shared" si="5"/>
        <v>0.020790306916576424</v>
      </c>
      <c r="O35" s="200">
        <f t="shared" si="6"/>
        <v>0.031790198707842394</v>
      </c>
    </row>
    <row r="36" spans="1:15" ht="12.75">
      <c r="A36" s="190">
        <v>1980</v>
      </c>
      <c r="B36" s="193">
        <v>7826.426559277305</v>
      </c>
      <c r="C36" s="193">
        <v>12127.354831107421</v>
      </c>
      <c r="D36" s="193">
        <v>10614.337727920449</v>
      </c>
      <c r="E36" s="193">
        <v>7745.821355064872</v>
      </c>
      <c r="G36" s="200">
        <f t="shared" si="3"/>
        <v>-0.032217264560190514</v>
      </c>
      <c r="H36" s="200">
        <f t="shared" si="0"/>
        <v>0.022760090923323425</v>
      </c>
      <c r="I36" s="200">
        <f t="shared" si="1"/>
        <v>0.008868252006532745</v>
      </c>
      <c r="J36" s="200">
        <f t="shared" si="2"/>
        <v>-0.03402970509338213</v>
      </c>
      <c r="L36" s="200">
        <f t="shared" si="7"/>
        <v>0.027793595927150305</v>
      </c>
      <c r="M36" s="200">
        <f t="shared" si="4"/>
        <v>0.021021287641642072</v>
      </c>
      <c r="N36" s="200">
        <f t="shared" si="5"/>
        <v>0.020845450952890383</v>
      </c>
      <c r="O36" s="200">
        <f t="shared" si="6"/>
        <v>0.02459674250042278</v>
      </c>
    </row>
    <row r="37" spans="1:15" ht="12.75">
      <c r="A37" s="190">
        <v>1981</v>
      </c>
      <c r="B37" s="193">
        <v>8011.152538098887</v>
      </c>
      <c r="C37" s="193">
        <v>12021.687996346573</v>
      </c>
      <c r="D37" s="193">
        <v>10688.56231815788</v>
      </c>
      <c r="E37" s="193">
        <v>7267.247668697176</v>
      </c>
      <c r="G37" s="200">
        <f t="shared" si="3"/>
        <v>0.023602850856961108</v>
      </c>
      <c r="H37" s="200">
        <f t="shared" si="0"/>
        <v>-0.008713098299870499</v>
      </c>
      <c r="I37" s="200">
        <f t="shared" si="1"/>
        <v>0.006992861178911507</v>
      </c>
      <c r="J37" s="200">
        <f t="shared" si="2"/>
        <v>-0.06178475650677947</v>
      </c>
      <c r="L37" s="200">
        <f t="shared" si="7"/>
        <v>0.02637009670410245</v>
      </c>
      <c r="M37" s="200">
        <f t="shared" si="4"/>
        <v>0.018535629558269495</v>
      </c>
      <c r="N37" s="200">
        <f t="shared" si="5"/>
        <v>0.01926534256747515</v>
      </c>
      <c r="O37" s="200">
        <f t="shared" si="6"/>
        <v>0.020918489882917755</v>
      </c>
    </row>
    <row r="38" spans="1:15" ht="12.75">
      <c r="A38" s="190">
        <v>1982</v>
      </c>
      <c r="B38" s="193">
        <v>8249.045745947082</v>
      </c>
      <c r="C38" s="193">
        <v>12223.73348564362</v>
      </c>
      <c r="D38" s="193">
        <v>11080.149383705531</v>
      </c>
      <c r="E38" s="193">
        <v>7136.351678770248</v>
      </c>
      <c r="G38" s="200">
        <f t="shared" si="3"/>
        <v>0.02969525379985448</v>
      </c>
      <c r="H38" s="200">
        <f t="shared" si="0"/>
        <v>0.016806748716024635</v>
      </c>
      <c r="I38" s="200">
        <f t="shared" si="1"/>
        <v>0.03663608387092606</v>
      </c>
      <c r="J38" s="200">
        <f t="shared" si="2"/>
        <v>-0.01801176950260644</v>
      </c>
      <c r="L38" s="200">
        <f t="shared" si="7"/>
        <v>0.024674531679100626</v>
      </c>
      <c r="M38" s="200">
        <f t="shared" si="4"/>
        <v>0.01846142507699983</v>
      </c>
      <c r="N38" s="200">
        <f t="shared" si="5"/>
        <v>0.022882099420801594</v>
      </c>
      <c r="O38" s="200">
        <f t="shared" si="6"/>
        <v>0.015752561032189732</v>
      </c>
    </row>
    <row r="39" spans="1:15" ht="12.75">
      <c r="A39" s="190">
        <v>1983</v>
      </c>
      <c r="B39" s="193">
        <v>8076.707415466121</v>
      </c>
      <c r="C39" s="193">
        <v>12378.332037847846</v>
      </c>
      <c r="D39" s="193">
        <v>10982.862567024158</v>
      </c>
      <c r="E39" s="193">
        <v>7418.86874285076</v>
      </c>
      <c r="G39" s="200">
        <f t="shared" si="3"/>
        <v>-0.020891911111734784</v>
      </c>
      <c r="H39" s="200">
        <f t="shared" si="0"/>
        <v>0.012647408615853537</v>
      </c>
      <c r="I39" s="200">
        <f t="shared" si="1"/>
        <v>-0.008780280239221616</v>
      </c>
      <c r="J39" s="200">
        <f t="shared" si="2"/>
        <v>0.03958844474004338</v>
      </c>
      <c r="L39" s="200">
        <f t="shared" si="7"/>
        <v>0.020688284286887446</v>
      </c>
      <c r="M39" s="200">
        <f t="shared" si="4"/>
        <v>0.017040851750734904</v>
      </c>
      <c r="N39" s="200">
        <f t="shared" si="5"/>
        <v>0.01866608545167617</v>
      </c>
      <c r="O39" s="200">
        <f t="shared" si="6"/>
        <v>0.013797595627761281</v>
      </c>
    </row>
    <row r="40" spans="1:15" ht="12.75">
      <c r="A40" s="190">
        <v>1984</v>
      </c>
      <c r="B40" s="193">
        <v>8327.06883371032</v>
      </c>
      <c r="C40" s="193">
        <v>12640.03104400882</v>
      </c>
      <c r="D40" s="193">
        <v>11292.89206537376</v>
      </c>
      <c r="E40" s="193">
        <v>7625.183129436999</v>
      </c>
      <c r="G40" s="200">
        <f t="shared" si="3"/>
        <v>0.030997955647716135</v>
      </c>
      <c r="H40" s="200">
        <f t="shared" si="0"/>
        <v>0.02114170191596139</v>
      </c>
      <c r="I40" s="200">
        <f t="shared" si="1"/>
        <v>0.028228478364143442</v>
      </c>
      <c r="J40" s="200">
        <f t="shared" si="2"/>
        <v>0.027809413232314513</v>
      </c>
      <c r="L40" s="200">
        <f t="shared" si="7"/>
        <v>0.01972940239805324</v>
      </c>
      <c r="M40" s="200">
        <f t="shared" si="4"/>
        <v>0.01629876282739487</v>
      </c>
      <c r="N40" s="200">
        <f t="shared" si="5"/>
        <v>0.019465395381296973</v>
      </c>
      <c r="O40" s="200">
        <f t="shared" si="6"/>
        <v>0.010753731027394473</v>
      </c>
    </row>
    <row r="41" spans="1:15" ht="12.75">
      <c r="A41" s="190">
        <v>1985</v>
      </c>
      <c r="B41" s="193">
        <v>8062.241276418986</v>
      </c>
      <c r="C41" s="193">
        <v>12712.505556331816</v>
      </c>
      <c r="D41" s="193">
        <v>11035.289663432784</v>
      </c>
      <c r="E41" s="193">
        <v>7638.5662015817525</v>
      </c>
      <c r="G41" s="200">
        <f t="shared" si="3"/>
        <v>-0.031803214622081404</v>
      </c>
      <c r="H41" s="200">
        <f t="shared" si="0"/>
        <v>0.005733728981413271</v>
      </c>
      <c r="I41" s="200">
        <f t="shared" si="1"/>
        <v>-0.022811021344198972</v>
      </c>
      <c r="J41" s="200">
        <f t="shared" si="2"/>
        <v>0.0017551148500405955</v>
      </c>
      <c r="L41" s="200">
        <f t="shared" si="7"/>
        <v>0.014238524924913143</v>
      </c>
      <c r="M41" s="200">
        <f t="shared" si="4"/>
        <v>0.01455480598419498</v>
      </c>
      <c r="N41" s="200">
        <f t="shared" si="5"/>
        <v>0.01350779059903756</v>
      </c>
      <c r="O41" s="200">
        <f t="shared" si="6"/>
        <v>0.005414733806581036</v>
      </c>
    </row>
    <row r="42" spans="1:15" ht="12.75">
      <c r="A42" s="190">
        <v>1986</v>
      </c>
      <c r="B42" s="193">
        <v>8261.352784018596</v>
      </c>
      <c r="C42" s="193">
        <v>12925.314415292458</v>
      </c>
      <c r="D42" s="193">
        <v>11275.473686958478</v>
      </c>
      <c r="E42" s="193">
        <v>7822.263065856826</v>
      </c>
      <c r="G42" s="200">
        <f t="shared" si="3"/>
        <v>0.02469679345642828</v>
      </c>
      <c r="H42" s="200">
        <f t="shared" si="0"/>
        <v>0.016740119248533664</v>
      </c>
      <c r="I42" s="200">
        <f t="shared" si="1"/>
        <v>0.021765085543842294</v>
      </c>
      <c r="J42" s="200">
        <f t="shared" si="2"/>
        <v>0.024048605383171853</v>
      </c>
      <c r="L42" s="200">
        <f t="shared" si="7"/>
        <v>0.01425446257362426</v>
      </c>
      <c r="M42" s="200">
        <f t="shared" si="4"/>
        <v>0.013564251952844804</v>
      </c>
      <c r="N42" s="200">
        <f t="shared" si="5"/>
        <v>0.013529859625842251</v>
      </c>
      <c r="O42" s="200">
        <f t="shared" si="6"/>
        <v>0.003344419726215672</v>
      </c>
    </row>
    <row r="43" spans="1:15" ht="12.75">
      <c r="A43" s="190">
        <v>1987</v>
      </c>
      <c r="B43" s="193">
        <v>8264.75625760169</v>
      </c>
      <c r="C43" s="193">
        <v>12965.568693304562</v>
      </c>
      <c r="D43" s="193">
        <v>11469.173062726484</v>
      </c>
      <c r="E43" s="193">
        <v>7669.007189430125</v>
      </c>
      <c r="G43" s="200">
        <f t="shared" si="3"/>
        <v>0.00041197533528378936</v>
      </c>
      <c r="H43" s="200">
        <f t="shared" si="0"/>
        <v>0.0031143751493176402</v>
      </c>
      <c r="I43" s="200">
        <f t="shared" si="1"/>
        <v>0.017178823803388817</v>
      </c>
      <c r="J43" s="200">
        <f t="shared" si="2"/>
        <v>-0.01959226826513196</v>
      </c>
      <c r="L43" s="200">
        <f t="shared" si="7"/>
        <v>0.007870998703555896</v>
      </c>
      <c r="M43" s="200">
        <f t="shared" si="4"/>
        <v>0.012023256501292824</v>
      </c>
      <c r="N43" s="200">
        <f t="shared" si="5"/>
        <v>0.013664580081749788</v>
      </c>
      <c r="O43" s="200">
        <f t="shared" si="6"/>
        <v>-0.0013721868167860618</v>
      </c>
    </row>
    <row r="44" spans="1:15" ht="12.75">
      <c r="A44" s="190">
        <v>1988</v>
      </c>
      <c r="B44" s="193">
        <v>8203.728099351983</v>
      </c>
      <c r="C44" s="193">
        <v>13231.497785006222</v>
      </c>
      <c r="D44" s="193">
        <v>11833.762995009374</v>
      </c>
      <c r="E44" s="193">
        <v>7812.307170515486</v>
      </c>
      <c r="G44" s="200">
        <f t="shared" si="3"/>
        <v>-0.0073841449581255846</v>
      </c>
      <c r="H44" s="200">
        <f t="shared" si="0"/>
        <v>0.02051040706289935</v>
      </c>
      <c r="I44" s="200">
        <f t="shared" si="1"/>
        <v>0.03178868522507225</v>
      </c>
      <c r="J44" s="200">
        <f t="shared" si="2"/>
        <v>0.018685597437288252</v>
      </c>
      <c r="L44" s="200">
        <f t="shared" si="7"/>
        <v>0.0050969180273338945</v>
      </c>
      <c r="M44" s="200">
        <f t="shared" si="4"/>
        <v>0.013036102882195165</v>
      </c>
      <c r="N44" s="200">
        <f t="shared" si="5"/>
        <v>0.016516221982048215</v>
      </c>
      <c r="O44" s="200">
        <f t="shared" si="6"/>
        <v>-0.0010710301767304752</v>
      </c>
    </row>
    <row r="45" spans="1:15" ht="12.75">
      <c r="A45" s="190">
        <v>1989</v>
      </c>
      <c r="B45" s="193">
        <v>8049.518971653299</v>
      </c>
      <c r="C45" s="193">
        <v>13321.199929946237</v>
      </c>
      <c r="D45" s="193">
        <v>11618.225628565298</v>
      </c>
      <c r="E45" s="193">
        <v>7670.161598128004</v>
      </c>
      <c r="G45" s="200">
        <f t="shared" si="3"/>
        <v>-0.018797444994656257</v>
      </c>
      <c r="H45" s="200">
        <f t="shared" si="0"/>
        <v>0.006779439969499439</v>
      </c>
      <c r="I45" s="200">
        <f t="shared" si="1"/>
        <v>-0.018213764001778123</v>
      </c>
      <c r="J45" s="200">
        <f t="shared" si="2"/>
        <v>-0.018195082359786816</v>
      </c>
      <c r="L45" s="200">
        <f t="shared" si="7"/>
        <v>0.004724220425860672</v>
      </c>
      <c r="M45" s="200">
        <f t="shared" si="4"/>
        <v>0.010447320397940892</v>
      </c>
      <c r="N45" s="200">
        <f t="shared" si="5"/>
        <v>0.01017104485864502</v>
      </c>
      <c r="O45" s="200">
        <f t="shared" si="6"/>
        <v>-0.0033502427486518777</v>
      </c>
    </row>
    <row r="46" spans="1:15" ht="12.75">
      <c r="A46" s="190">
        <v>1990</v>
      </c>
      <c r="B46" s="193">
        <v>7247.715081077834</v>
      </c>
      <c r="C46" s="193">
        <v>12933.556463582234</v>
      </c>
      <c r="D46" s="193">
        <v>10870.766701887727</v>
      </c>
      <c r="E46" s="193">
        <v>6900.415735649134</v>
      </c>
      <c r="G46" s="200">
        <f t="shared" si="3"/>
        <v>-0.09960891991174244</v>
      </c>
      <c r="H46" s="200">
        <f t="shared" si="0"/>
        <v>-0.029099740894405108</v>
      </c>
      <c r="I46" s="200">
        <f t="shared" si="1"/>
        <v>-0.06433503278158256</v>
      </c>
      <c r="J46" s="200">
        <f t="shared" si="2"/>
        <v>-0.10035588593944819</v>
      </c>
      <c r="L46" s="200">
        <f t="shared" si="7"/>
        <v>-0.0053158006968179</v>
      </c>
      <c r="M46" s="200">
        <f t="shared" si="4"/>
        <v>0.007560587664748444</v>
      </c>
      <c r="N46" s="200">
        <f t="shared" si="5"/>
        <v>0.0030795271972185894</v>
      </c>
      <c r="O46" s="200">
        <f t="shared" si="6"/>
        <v>-0.013974914073908667</v>
      </c>
    </row>
    <row r="47" spans="1:15" ht="12.75">
      <c r="A47" s="190">
        <v>1991</v>
      </c>
      <c r="B47" s="193">
        <v>6733.856864600005</v>
      </c>
      <c r="C47" s="193">
        <v>11311.454995695163</v>
      </c>
      <c r="D47" s="193">
        <v>9583.930497213012</v>
      </c>
      <c r="E47" s="193">
        <v>6393.867218347944</v>
      </c>
      <c r="G47" s="200">
        <f t="shared" si="3"/>
        <v>-0.07089934009952988</v>
      </c>
      <c r="H47" s="200">
        <f t="shared" si="0"/>
        <v>-0.12541805283446328</v>
      </c>
      <c r="I47" s="200">
        <f t="shared" si="1"/>
        <v>-0.11837584596965492</v>
      </c>
      <c r="J47" s="200">
        <f t="shared" si="2"/>
        <v>-0.07340840562464145</v>
      </c>
      <c r="L47" s="200">
        <f t="shared" si="7"/>
        <v>-0.014349784263484757</v>
      </c>
      <c r="M47" s="200">
        <f t="shared" si="4"/>
        <v>-0.0030830726204927107</v>
      </c>
      <c r="N47" s="200">
        <f t="shared" si="5"/>
        <v>-0.0067548061953015895</v>
      </c>
      <c r="O47" s="200">
        <f t="shared" si="6"/>
        <v>-0.017790891470743156</v>
      </c>
    </row>
    <row r="48" spans="1:15" ht="12.75">
      <c r="A48" s="190">
        <v>1992</v>
      </c>
      <c r="B48" s="193">
        <v>6322.808951138865</v>
      </c>
      <c r="C48" s="193">
        <v>11046.421708891656</v>
      </c>
      <c r="D48" s="193">
        <v>9304.673575308892</v>
      </c>
      <c r="E48" s="193">
        <v>6534.603028232178</v>
      </c>
      <c r="G48" s="200">
        <f t="shared" si="3"/>
        <v>-0.0610419736751497</v>
      </c>
      <c r="H48" s="200">
        <f t="shared" si="0"/>
        <v>-0.023430521264008217</v>
      </c>
      <c r="I48" s="200">
        <f t="shared" si="1"/>
        <v>-0.02913803704913418</v>
      </c>
      <c r="J48" s="200">
        <f t="shared" si="2"/>
        <v>0.022011062331788258</v>
      </c>
      <c r="L48" s="200">
        <f t="shared" si="7"/>
        <v>-0.01675184335639802</v>
      </c>
      <c r="M48" s="200">
        <f t="shared" si="4"/>
        <v>-0.006932290302770348</v>
      </c>
      <c r="N48" s="200">
        <f t="shared" si="5"/>
        <v>-0.009921996949940502</v>
      </c>
      <c r="O48" s="200">
        <f t="shared" si="6"/>
        <v>-0.013120827518645621</v>
      </c>
    </row>
    <row r="49" spans="1:15" ht="12.75">
      <c r="A49" s="190">
        <v>1993</v>
      </c>
      <c r="B49" s="193">
        <v>6393.401566128828</v>
      </c>
      <c r="C49" s="193">
        <v>11085.084994616815</v>
      </c>
      <c r="D49" s="193">
        <v>9268.687636516042</v>
      </c>
      <c r="E49" s="193">
        <v>6761.541171537868</v>
      </c>
      <c r="G49" s="200">
        <f t="shared" si="3"/>
        <v>0.011164755338249977</v>
      </c>
      <c r="H49" s="200">
        <f t="shared" si="0"/>
        <v>0.0035000733037411935</v>
      </c>
      <c r="I49" s="200">
        <f t="shared" si="1"/>
        <v>-0.0038675122240014043</v>
      </c>
      <c r="J49" s="200">
        <f t="shared" si="2"/>
        <v>0.03472868088929402</v>
      </c>
      <c r="L49" s="200">
        <f t="shared" si="7"/>
        <v>-0.017788351316290616</v>
      </c>
      <c r="M49" s="200">
        <f t="shared" si="4"/>
        <v>-0.005914526002469374</v>
      </c>
      <c r="N49" s="200">
        <f t="shared" si="5"/>
        <v>-0.010827028066849908</v>
      </c>
      <c r="O49" s="200">
        <f t="shared" si="6"/>
        <v>-0.005078041068972831</v>
      </c>
    </row>
    <row r="50" spans="1:15" ht="12.75">
      <c r="A50" s="190">
        <v>1994</v>
      </c>
      <c r="B50" s="193">
        <v>6574.202767723779</v>
      </c>
      <c r="C50" s="193">
        <v>11431.942785445664</v>
      </c>
      <c r="D50" s="193">
        <v>9556.9298205033</v>
      </c>
      <c r="E50" s="193">
        <v>7104.284744075289</v>
      </c>
      <c r="G50" s="200">
        <f t="shared" si="3"/>
        <v>0.02827934390243938</v>
      </c>
      <c r="H50" s="200">
        <f t="shared" si="0"/>
        <v>0.03129049447950037</v>
      </c>
      <c r="I50" s="200">
        <f t="shared" si="1"/>
        <v>0.031098489375309513</v>
      </c>
      <c r="J50" s="200">
        <f t="shared" si="2"/>
        <v>0.05069015537170306</v>
      </c>
      <c r="L50" s="200">
        <f t="shared" si="7"/>
        <v>-0.017906343807741875</v>
      </c>
      <c r="M50" s="200">
        <f t="shared" si="4"/>
        <v>-0.004707547188846396</v>
      </c>
      <c r="N50" s="200">
        <f t="shared" si="5"/>
        <v>-0.011288494274817956</v>
      </c>
      <c r="O50" s="200">
        <f t="shared" si="6"/>
        <v>0.000647119337219627</v>
      </c>
    </row>
    <row r="51" spans="1:15" ht="12.75">
      <c r="A51" s="190">
        <v>1995</v>
      </c>
      <c r="B51" s="193">
        <v>6832.280990982313</v>
      </c>
      <c r="C51" s="193">
        <v>12099.708081831193</v>
      </c>
      <c r="D51" s="193">
        <v>9715.147773250384</v>
      </c>
      <c r="E51" s="193">
        <v>7587.861671152316</v>
      </c>
      <c r="G51" s="200">
        <f t="shared" si="3"/>
        <v>0.03925620069486983</v>
      </c>
      <c r="H51" s="200">
        <f t="shared" si="0"/>
        <v>0.058412232191686626</v>
      </c>
      <c r="I51" s="200">
        <f t="shared" si="1"/>
        <v>0.016555311770485828</v>
      </c>
      <c r="J51" s="200">
        <f t="shared" si="2"/>
        <v>0.06806834811629872</v>
      </c>
      <c r="L51" s="200">
        <f t="shared" si="7"/>
        <v>-0.012894001157191484</v>
      </c>
      <c r="M51" s="200">
        <f t="shared" si="4"/>
        <v>-0.0008938118908603052</v>
      </c>
      <c r="N51" s="200">
        <f t="shared" si="5"/>
        <v>-0.009177194940675669</v>
      </c>
      <c r="O51" s="200">
        <f t="shared" si="6"/>
        <v>0.0030204446185742363</v>
      </c>
    </row>
    <row r="52" spans="1:15" ht="12.75">
      <c r="A52" s="190">
        <v>1996</v>
      </c>
      <c r="B52" s="193">
        <v>6258.410288994235</v>
      </c>
      <c r="C52" s="193">
        <v>12682.088705646402</v>
      </c>
      <c r="D52" s="193">
        <v>9866.654335735027</v>
      </c>
      <c r="E52" s="193">
        <v>8039.253451398638</v>
      </c>
      <c r="G52" s="200">
        <f t="shared" si="3"/>
        <v>-0.08399401352864576</v>
      </c>
      <c r="H52" s="200">
        <f t="shared" si="0"/>
        <v>0.048131791269386534</v>
      </c>
      <c r="I52" s="200">
        <f t="shared" si="1"/>
        <v>0.015594879874272213</v>
      </c>
      <c r="J52" s="200">
        <f t="shared" si="2"/>
        <v>0.05948866753362575</v>
      </c>
      <c r="L52" s="200">
        <f t="shared" si="7"/>
        <v>-0.022476665255221646</v>
      </c>
      <c r="M52" s="200">
        <f t="shared" si="4"/>
        <v>0.0013553622219251236</v>
      </c>
      <c r="N52" s="200">
        <f t="shared" si="5"/>
        <v>-0.010229994814831604</v>
      </c>
      <c r="O52" s="200">
        <f t="shared" si="6"/>
        <v>0.00566038247701684</v>
      </c>
    </row>
    <row r="53" spans="1:15" ht="12.75">
      <c r="A53" s="190">
        <v>1997</v>
      </c>
      <c r="B53" s="193">
        <v>5982.269357672295</v>
      </c>
      <c r="C53" s="193">
        <v>12778.277054024984</v>
      </c>
      <c r="D53" s="193">
        <v>10346.995973317871</v>
      </c>
      <c r="E53" s="193">
        <v>8582.925078387523</v>
      </c>
      <c r="G53" s="200">
        <f t="shared" si="3"/>
        <v>-0.044123174827247966</v>
      </c>
      <c r="H53" s="200">
        <f t="shared" si="0"/>
        <v>0.007584582525097519</v>
      </c>
      <c r="I53" s="200">
        <f t="shared" si="1"/>
        <v>0.04868333492166067</v>
      </c>
      <c r="J53" s="200">
        <f t="shared" si="2"/>
        <v>0.06762712859790468</v>
      </c>
      <c r="L53" s="200">
        <f t="shared" si="7"/>
        <v>-0.023503328605652195</v>
      </c>
      <c r="M53" s="200">
        <f t="shared" si="4"/>
        <v>0.0015096000172321437</v>
      </c>
      <c r="N53" s="200">
        <f t="shared" si="5"/>
        <v>-0.004272131792676632</v>
      </c>
      <c r="O53" s="200">
        <f t="shared" si="6"/>
        <v>0.011149716956005515</v>
      </c>
    </row>
    <row r="54" spans="1:15" ht="12.75">
      <c r="A54" s="190">
        <v>1998</v>
      </c>
      <c r="B54" s="193">
        <v>6296.854805475568</v>
      </c>
      <c r="C54" s="193">
        <v>12842.724513434488</v>
      </c>
      <c r="D54" s="193">
        <v>10885.47786978332</v>
      </c>
      <c r="E54" s="193">
        <v>8996.801734713632</v>
      </c>
      <c r="G54" s="200">
        <f t="shared" si="3"/>
        <v>0.05258630613143752</v>
      </c>
      <c r="H54" s="200">
        <f t="shared" si="0"/>
        <v>0.0050435171453106385</v>
      </c>
      <c r="I54" s="200">
        <f t="shared" si="1"/>
        <v>0.05204234135724514</v>
      </c>
      <c r="J54" s="200">
        <f t="shared" si="2"/>
        <v>0.048220933137151874</v>
      </c>
      <c r="L54" s="200">
        <f t="shared" si="7"/>
        <v>-0.021179202549401425</v>
      </c>
      <c r="M54" s="200">
        <f t="shared" si="4"/>
        <v>0.0005348831752968916</v>
      </c>
      <c r="N54" s="200">
        <f t="shared" si="5"/>
        <v>-0.0017490271415597305</v>
      </c>
      <c r="O54" s="200">
        <f t="shared" si="6"/>
        <v>0.013164077602170518</v>
      </c>
    </row>
    <row r="55" spans="1:15" ht="12.75">
      <c r="A55" s="190">
        <v>1999</v>
      </c>
      <c r="B55" s="193">
        <v>6517.060787272159</v>
      </c>
      <c r="C55" s="193">
        <v>12943.530850806548</v>
      </c>
      <c r="D55" s="193">
        <v>11380.395320015625</v>
      </c>
      <c r="E55" s="193">
        <v>9362.558002606404</v>
      </c>
      <c r="G55" s="200">
        <f t="shared" si="3"/>
        <v>0.03497078916367995</v>
      </c>
      <c r="H55" s="200">
        <f t="shared" si="0"/>
        <v>0.00784929531631769</v>
      </c>
      <c r="I55" s="200">
        <f t="shared" si="1"/>
        <v>0.04546584506006216</v>
      </c>
      <c r="J55" s="200">
        <f t="shared" si="2"/>
        <v>0.04065403225254175</v>
      </c>
      <c r="L55" s="200">
        <f t="shared" si="7"/>
        <v>-0.018299301397035075</v>
      </c>
      <c r="M55" s="200">
        <f t="shared" si="4"/>
        <v>0.0009294598558802309</v>
      </c>
      <c r="N55" s="200">
        <f t="shared" si="5"/>
        <v>0.0006082246298297154</v>
      </c>
      <c r="O55" s="200">
        <f t="shared" si="6"/>
        <v>0.01818460264530999</v>
      </c>
    </row>
    <row r="56" spans="1:15" ht="12.75">
      <c r="A56" s="190">
        <v>2000</v>
      </c>
      <c r="B56" s="193">
        <v>6948.940455656013</v>
      </c>
      <c r="C56" s="193">
        <v>13317.87124754198</v>
      </c>
      <c r="D56" s="193">
        <v>12013.077092715013</v>
      </c>
      <c r="E56" s="193">
        <v>9738.26186303749</v>
      </c>
      <c r="G56" s="200">
        <f t="shared" si="3"/>
        <v>0.06626908701347639</v>
      </c>
      <c r="H56" s="200">
        <f t="shared" si="0"/>
        <v>0.028921041796883835</v>
      </c>
      <c r="I56" s="200">
        <f t="shared" si="1"/>
        <v>0.055594006614747365</v>
      </c>
      <c r="J56" s="200">
        <f t="shared" si="2"/>
        <v>0.040128334620356414</v>
      </c>
      <c r="L56" s="200">
        <f t="shared" si="7"/>
        <v>-0.012161532066068246</v>
      </c>
      <c r="M56" s="200">
        <f t="shared" si="4"/>
        <v>0.001630346083712269</v>
      </c>
      <c r="N56" s="200">
        <f t="shared" si="5"/>
        <v>0.002592001412302644</v>
      </c>
      <c r="O56" s="200">
        <f t="shared" si="6"/>
        <v>0.019971497410565673</v>
      </c>
    </row>
    <row r="57" spans="1:15" ht="12.75">
      <c r="A57" s="190">
        <v>2001</v>
      </c>
      <c r="B57" s="193">
        <v>7323.784172451199</v>
      </c>
      <c r="C57" s="193">
        <v>13744.467561062696</v>
      </c>
      <c r="D57" s="193">
        <v>12517.345183389343</v>
      </c>
      <c r="E57" s="193">
        <v>9842.786651099013</v>
      </c>
      <c r="G57" s="200">
        <f t="shared" si="3"/>
        <v>0.05394257141606188</v>
      </c>
      <c r="H57" s="200">
        <f t="shared" si="0"/>
        <v>0.03203186947759775</v>
      </c>
      <c r="I57" s="200">
        <f t="shared" si="1"/>
        <v>0.04197659656909459</v>
      </c>
      <c r="J57" s="200">
        <f t="shared" si="2"/>
        <v>0.010733413162595084</v>
      </c>
      <c r="L57" s="200">
        <f t="shared" si="7"/>
        <v>-0.006099864031841737</v>
      </c>
      <c r="M57" s="200">
        <f t="shared" si="4"/>
        <v>0.00373471520938713</v>
      </c>
      <c r="N57" s="200">
        <f t="shared" si="5"/>
        <v>0.007607864793208702</v>
      </c>
      <c r="O57" s="200">
        <f t="shared" si="6"/>
        <v>0.02238220537076416</v>
      </c>
    </row>
    <row r="58" spans="1:15" ht="12.75">
      <c r="A58" s="190">
        <v>2002</v>
      </c>
      <c r="B58" s="193">
        <v>7750.854013619582</v>
      </c>
      <c r="C58" s="193">
        <v>14122.248719392115</v>
      </c>
      <c r="D58" s="193">
        <v>12978.070589287117</v>
      </c>
      <c r="E58" s="193">
        <v>9970.311024467454</v>
      </c>
      <c r="G58" s="200">
        <f t="shared" si="3"/>
        <v>0.058312728927052256</v>
      </c>
      <c r="H58" s="200">
        <f t="shared" si="0"/>
        <v>0.027486052599058224</v>
      </c>
      <c r="I58" s="200">
        <f t="shared" si="1"/>
        <v>0.036806958596073705</v>
      </c>
      <c r="J58" s="200">
        <f t="shared" si="2"/>
        <v>0.012956124915518837</v>
      </c>
      <c r="L58" s="200">
        <f t="shared" si="7"/>
        <v>0.00706027337139116</v>
      </c>
      <c r="M58" s="200">
        <f t="shared" si="4"/>
        <v>0.008450198000509073</v>
      </c>
      <c r="N58" s="200">
        <f t="shared" si="5"/>
        <v>0.01603636407468006</v>
      </c>
      <c r="O58" s="200">
        <f t="shared" si="6"/>
        <v>0.03182487294201142</v>
      </c>
    </row>
    <row r="61" ht="12.75">
      <c r="A61" s="191" t="s">
        <v>417</v>
      </c>
    </row>
  </sheetData>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A1"/>
  <sheetViews>
    <sheetView workbookViewId="0" topLeftCell="A1">
      <selection activeCell="D13" sqref="D13"/>
    </sheetView>
  </sheetViews>
  <sheetFormatPr defaultColWidth="9.140625" defaultRowHeight="12.75"/>
  <sheetData/>
  <printOptions/>
  <pageMargins left="0.75" right="0.75" top="1" bottom="1" header="0.5" footer="0.5"/>
  <pageSetup orientation="portrait" paperSize="9"/>
  <drawing r:id="rId1"/>
</worksheet>
</file>

<file path=xl/worksheets/sheet54.xml><?xml version="1.0" encoding="utf-8"?>
<worksheet xmlns="http://schemas.openxmlformats.org/spreadsheetml/2006/main" xmlns:r="http://schemas.openxmlformats.org/officeDocument/2006/relationships">
  <dimension ref="A1:AG47"/>
  <sheetViews>
    <sheetView workbookViewId="0" topLeftCell="A1">
      <selection activeCell="K38" sqref="K38"/>
    </sheetView>
  </sheetViews>
  <sheetFormatPr defaultColWidth="9.140625" defaultRowHeight="12.75"/>
  <cols>
    <col min="4" max="4" width="15.8515625" style="0" customWidth="1"/>
    <col min="5" max="5" width="25.00390625" style="0" customWidth="1"/>
    <col min="6" max="6" width="18.140625" style="0" customWidth="1"/>
    <col min="7" max="7" width="15.57421875" style="0" customWidth="1"/>
    <col min="8" max="8" width="18.140625" style="0" customWidth="1"/>
    <col min="9" max="9" width="30.00390625" style="0" customWidth="1"/>
    <col min="15" max="15" width="15.00390625" style="0" customWidth="1"/>
    <col min="25" max="25" width="12.421875" style="0" bestFit="1" customWidth="1"/>
  </cols>
  <sheetData>
    <row r="1" ht="12.75">
      <c r="A1" t="s">
        <v>475</v>
      </c>
    </row>
    <row r="3" spans="3:33" ht="12.75">
      <c r="C3" t="s">
        <v>91</v>
      </c>
      <c r="D3" t="s">
        <v>89</v>
      </c>
      <c r="E3" t="s">
        <v>91</v>
      </c>
      <c r="F3" t="s">
        <v>102</v>
      </c>
      <c r="G3" t="s">
        <v>92</v>
      </c>
      <c r="H3" t="s">
        <v>90</v>
      </c>
      <c r="I3" t="s">
        <v>93</v>
      </c>
      <c r="J3" t="s">
        <v>103</v>
      </c>
      <c r="K3" t="s">
        <v>438</v>
      </c>
      <c r="AG3" t="s">
        <v>81</v>
      </c>
    </row>
    <row r="5" spans="1:33" ht="12.75">
      <c r="A5">
        <v>1992</v>
      </c>
      <c r="C5" s="1">
        <v>0.5114839022564043</v>
      </c>
      <c r="D5" s="1"/>
      <c r="E5" s="10"/>
      <c r="F5" s="1"/>
      <c r="G5" s="1"/>
      <c r="H5" s="1"/>
      <c r="I5" s="1"/>
      <c r="J5" s="9"/>
      <c r="K5" s="9"/>
      <c r="L5" s="9"/>
      <c r="M5" s="9"/>
      <c r="O5" s="9"/>
      <c r="P5" s="9"/>
      <c r="T5" s="27"/>
      <c r="U5" s="9"/>
      <c r="Y5" s="27"/>
      <c r="AA5" s="27"/>
      <c r="AB5" s="27"/>
      <c r="AC5" s="27"/>
      <c r="AG5" t="e">
        <f aca="true" t="shared" si="0" ref="AG5:AG14">LN(AD5)</f>
        <v>#NUM!</v>
      </c>
    </row>
    <row r="6" spans="1:33" ht="12.75">
      <c r="A6">
        <f aca="true" t="shared" si="1" ref="A6:A43">A5+1</f>
        <v>1993</v>
      </c>
      <c r="C6" s="1">
        <v>0.525947409284297</v>
      </c>
      <c r="D6" s="1"/>
      <c r="E6" s="10"/>
      <c r="F6" s="1"/>
      <c r="G6" s="1"/>
      <c r="H6" s="1"/>
      <c r="I6" s="1"/>
      <c r="J6" s="9"/>
      <c r="K6" s="9"/>
      <c r="L6" s="9"/>
      <c r="M6" s="1"/>
      <c r="O6" s="9"/>
      <c r="P6" s="1"/>
      <c r="T6" s="27"/>
      <c r="U6" s="9"/>
      <c r="Y6" s="27"/>
      <c r="AA6" s="27"/>
      <c r="AB6" s="27"/>
      <c r="AC6" s="27"/>
      <c r="AG6" t="e">
        <f t="shared" si="0"/>
        <v>#NUM!</v>
      </c>
    </row>
    <row r="7" spans="1:33" ht="12.75">
      <c r="A7">
        <f t="shared" si="1"/>
        <v>1994</v>
      </c>
      <c r="C7" s="1">
        <v>0.5539185570861477</v>
      </c>
      <c r="D7" s="1"/>
      <c r="E7" s="10"/>
      <c r="F7" s="1"/>
      <c r="G7" s="1"/>
      <c r="H7" s="1"/>
      <c r="I7" s="1"/>
      <c r="J7" s="9"/>
      <c r="K7" s="9"/>
      <c r="L7" s="9"/>
      <c r="M7" s="1"/>
      <c r="N7" s="11"/>
      <c r="O7" s="9"/>
      <c r="P7" s="1"/>
      <c r="T7" s="27"/>
      <c r="U7" s="9"/>
      <c r="Y7" s="27"/>
      <c r="AA7" s="27"/>
      <c r="AB7" s="27"/>
      <c r="AC7" s="27"/>
      <c r="AG7" t="e">
        <f t="shared" si="0"/>
        <v>#NUM!</v>
      </c>
    </row>
    <row r="8" spans="1:33" ht="12.75">
      <c r="A8">
        <f t="shared" si="1"/>
        <v>1995</v>
      </c>
      <c r="C8" s="1">
        <v>0.5766350631951401</v>
      </c>
      <c r="D8" s="1"/>
      <c r="E8" s="10"/>
      <c r="F8" s="1"/>
      <c r="G8" s="1"/>
      <c r="H8" s="1"/>
      <c r="I8" s="1"/>
      <c r="J8" s="9"/>
      <c r="K8" s="9"/>
      <c r="L8" s="9"/>
      <c r="M8" s="1"/>
      <c r="N8" s="11"/>
      <c r="O8" s="9"/>
      <c r="P8" s="1"/>
      <c r="T8" s="27"/>
      <c r="U8" s="9"/>
      <c r="Y8" s="27"/>
      <c r="AA8" s="27"/>
      <c r="AB8" s="27"/>
      <c r="AC8" s="27"/>
      <c r="AG8" t="e">
        <f t="shared" si="0"/>
        <v>#NUM!</v>
      </c>
    </row>
    <row r="9" spans="1:33" ht="12.75">
      <c r="A9">
        <f t="shared" si="1"/>
        <v>1996</v>
      </c>
      <c r="C9" s="1">
        <v>0.5978752651855527</v>
      </c>
      <c r="D9" s="1"/>
      <c r="E9" s="10"/>
      <c r="F9" s="1"/>
      <c r="G9" s="1"/>
      <c r="H9" s="1"/>
      <c r="I9" s="1"/>
      <c r="J9" s="9"/>
      <c r="K9" s="9"/>
      <c r="L9" s="9"/>
      <c r="M9" s="1"/>
      <c r="N9" s="11"/>
      <c r="O9" s="9"/>
      <c r="P9" s="1"/>
      <c r="T9" s="27"/>
      <c r="U9" s="9"/>
      <c r="Y9" s="27"/>
      <c r="AA9" s="27"/>
      <c r="AB9" s="27"/>
      <c r="AC9" s="27"/>
      <c r="AG9" t="e">
        <f t="shared" si="0"/>
        <v>#NUM!</v>
      </c>
    </row>
    <row r="10" spans="1:33" ht="12.75">
      <c r="A10">
        <f t="shared" si="1"/>
        <v>1997</v>
      </c>
      <c r="C10" s="1">
        <v>0.6264357118051106</v>
      </c>
      <c r="D10" s="1"/>
      <c r="E10" s="10"/>
      <c r="F10" s="1"/>
      <c r="G10" s="1"/>
      <c r="H10" s="1"/>
      <c r="I10" s="1"/>
      <c r="J10" s="9"/>
      <c r="K10" s="9"/>
      <c r="L10" s="9"/>
      <c r="M10" s="1"/>
      <c r="N10" s="11"/>
      <c r="O10" s="9"/>
      <c r="P10" s="1"/>
      <c r="T10" s="27"/>
      <c r="U10" s="9"/>
      <c r="Y10" s="27"/>
      <c r="AA10" s="27"/>
      <c r="AB10" s="27"/>
      <c r="AC10" s="27"/>
      <c r="AG10" t="e">
        <f t="shared" si="0"/>
        <v>#NUM!</v>
      </c>
    </row>
    <row r="11" spans="1:33" ht="12.75">
      <c r="A11">
        <f t="shared" si="1"/>
        <v>1998</v>
      </c>
      <c r="C11" s="1">
        <v>0.6486085969013878</v>
      </c>
      <c r="D11" s="1"/>
      <c r="E11" s="10"/>
      <c r="F11" s="1"/>
      <c r="G11" s="1"/>
      <c r="H11" s="1"/>
      <c r="I11" s="1"/>
      <c r="J11" s="9"/>
      <c r="K11" s="9"/>
      <c r="L11" s="9"/>
      <c r="M11" s="1"/>
      <c r="N11" s="11"/>
      <c r="O11" s="9"/>
      <c r="P11" s="1"/>
      <c r="T11" s="27"/>
      <c r="U11" s="9"/>
      <c r="Y11" s="27"/>
      <c r="AA11" s="27"/>
      <c r="AB11" s="27"/>
      <c r="AC11" s="27"/>
      <c r="AG11" t="e">
        <f t="shared" si="0"/>
        <v>#NUM!</v>
      </c>
    </row>
    <row r="12" spans="1:33" ht="12.75">
      <c r="A12">
        <f t="shared" si="1"/>
        <v>1999</v>
      </c>
      <c r="C12" s="1">
        <v>0.6849166735085372</v>
      </c>
      <c r="D12" s="1"/>
      <c r="E12" s="10"/>
      <c r="F12" s="1"/>
      <c r="G12" s="1">
        <v>0.9917738913641962</v>
      </c>
      <c r="H12" s="1"/>
      <c r="I12" s="1"/>
      <c r="J12" s="9"/>
      <c r="K12" s="9"/>
      <c r="L12" s="9"/>
      <c r="M12" s="1"/>
      <c r="N12" s="11"/>
      <c r="O12" s="9"/>
      <c r="P12" s="1"/>
      <c r="T12" s="27"/>
      <c r="U12" s="9"/>
      <c r="Y12" s="27"/>
      <c r="AA12" s="27"/>
      <c r="AB12" s="27"/>
      <c r="AC12" s="27"/>
      <c r="AG12" t="e">
        <f t="shared" si="0"/>
        <v>#NUM!</v>
      </c>
    </row>
    <row r="13" spans="1:33" ht="12.75">
      <c r="A13">
        <f t="shared" si="1"/>
        <v>2000</v>
      </c>
      <c r="C13" s="1">
        <v>0.7118015420308904</v>
      </c>
      <c r="D13" s="1"/>
      <c r="E13" s="10"/>
      <c r="F13" s="1"/>
      <c r="G13" s="1">
        <v>0.9935960555902226</v>
      </c>
      <c r="H13" s="1"/>
      <c r="I13" s="1"/>
      <c r="J13" s="9"/>
      <c r="K13" s="9"/>
      <c r="L13" s="9"/>
      <c r="M13" s="1"/>
      <c r="N13" s="11"/>
      <c r="O13" s="9"/>
      <c r="P13" s="1"/>
      <c r="T13" s="27"/>
      <c r="U13" s="9"/>
      <c r="Y13" s="27"/>
      <c r="AA13" s="27"/>
      <c r="AB13" s="27"/>
      <c r="AC13" s="27"/>
      <c r="AG13" t="e">
        <f t="shared" si="0"/>
        <v>#NUM!</v>
      </c>
    </row>
    <row r="14" spans="1:33" ht="12.75">
      <c r="A14">
        <f t="shared" si="1"/>
        <v>2001</v>
      </c>
      <c r="C14" s="1">
        <v>0.730602685552169</v>
      </c>
      <c r="D14" s="1"/>
      <c r="E14" s="10"/>
      <c r="F14" s="1"/>
      <c r="G14" s="1">
        <v>0.9952092536590009</v>
      </c>
      <c r="H14" s="1"/>
      <c r="I14" s="1"/>
      <c r="J14" s="9"/>
      <c r="K14" s="9"/>
      <c r="L14" s="9"/>
      <c r="M14" s="1"/>
      <c r="N14" s="11"/>
      <c r="O14" s="9"/>
      <c r="P14" s="1"/>
      <c r="T14" s="27"/>
      <c r="U14" s="9"/>
      <c r="Y14" s="27"/>
      <c r="AA14" s="27"/>
      <c r="AB14" s="27"/>
      <c r="AC14" s="27"/>
      <c r="AG14" t="e">
        <f t="shared" si="0"/>
        <v>#NUM!</v>
      </c>
    </row>
    <row r="15" spans="1:29" ht="12.75">
      <c r="A15">
        <f t="shared" si="1"/>
        <v>2002</v>
      </c>
      <c r="C15" s="1">
        <v>0.7549999295613451</v>
      </c>
      <c r="D15" s="1">
        <v>1</v>
      </c>
      <c r="E15" s="1">
        <f>D15/1.325</f>
        <v>0.7547169811320755</v>
      </c>
      <c r="F15" s="1"/>
      <c r="G15" s="1">
        <v>0.9966002342010551</v>
      </c>
      <c r="H15" s="1">
        <v>1.3245033112582782</v>
      </c>
      <c r="I15" s="1">
        <f>H15/1.325</f>
        <v>0.9996251405722855</v>
      </c>
      <c r="J15" s="1"/>
      <c r="K15" s="1">
        <f aca="true" t="shared" si="2" ref="K15:K25">E15/I15</f>
        <v>0.755</v>
      </c>
      <c r="L15" s="9"/>
      <c r="M15" s="1"/>
      <c r="N15" s="11"/>
      <c r="O15" s="9"/>
      <c r="P15" s="1"/>
      <c r="T15" s="27"/>
      <c r="U15" s="9"/>
      <c r="Y15" s="27"/>
      <c r="AA15" s="1"/>
      <c r="AB15" s="1"/>
      <c r="AC15" s="1"/>
    </row>
    <row r="16" spans="1:14" ht="12.75">
      <c r="A16">
        <f t="shared" si="1"/>
        <v>2003</v>
      </c>
      <c r="C16" s="1"/>
      <c r="D16" s="1">
        <f>D15*(1.036)</f>
        <v>1.036</v>
      </c>
      <c r="E16" s="1">
        <f aca="true" t="shared" si="3" ref="E16:E26">D16/1.325</f>
        <v>0.7818867924528302</v>
      </c>
      <c r="F16" s="1"/>
      <c r="G16" s="1"/>
      <c r="H16" s="1">
        <f>H15*(1.023)</f>
        <v>1.3549668874172185</v>
      </c>
      <c r="I16" s="1">
        <f aca="true" t="shared" si="4" ref="I16:I26">H16/1.325</f>
        <v>1.022616518805448</v>
      </c>
      <c r="J16" s="1"/>
      <c r="K16" s="1">
        <f t="shared" si="2"/>
        <v>0.7645943304007821</v>
      </c>
      <c r="L16" s="9"/>
      <c r="N16" s="11"/>
    </row>
    <row r="17" spans="1:12" ht="12.75">
      <c r="A17">
        <f t="shared" si="1"/>
        <v>2004</v>
      </c>
      <c r="C17" s="1"/>
      <c r="D17" s="1">
        <f aca="true" t="shared" si="5" ref="D17:D43">D16*(1.036)</f>
        <v>1.073296</v>
      </c>
      <c r="E17" s="1">
        <f t="shared" si="3"/>
        <v>0.8100347169811322</v>
      </c>
      <c r="F17" s="1"/>
      <c r="G17" s="1"/>
      <c r="H17" s="1">
        <f aca="true" t="shared" si="6" ref="H17:H43">H16*(1.023)</f>
        <v>1.3861311258278144</v>
      </c>
      <c r="I17" s="1">
        <f t="shared" si="4"/>
        <v>1.0461366987379732</v>
      </c>
      <c r="J17" s="1"/>
      <c r="K17" s="1">
        <f t="shared" si="2"/>
        <v>0.7743105828887686</v>
      </c>
      <c r="L17" s="9"/>
    </row>
    <row r="18" spans="1:33" ht="12.75">
      <c r="A18">
        <f t="shared" si="1"/>
        <v>2005</v>
      </c>
      <c r="C18" s="1"/>
      <c r="D18" s="1">
        <f t="shared" si="5"/>
        <v>1.111934656</v>
      </c>
      <c r="E18" s="1">
        <f t="shared" si="3"/>
        <v>0.8391959667924529</v>
      </c>
      <c r="F18" s="1"/>
      <c r="G18" s="1"/>
      <c r="H18" s="1">
        <f t="shared" si="6"/>
        <v>1.418012141721854</v>
      </c>
      <c r="I18" s="1">
        <f t="shared" si="4"/>
        <v>1.0701978428089465</v>
      </c>
      <c r="J18" s="1"/>
      <c r="K18" s="1">
        <f t="shared" si="2"/>
        <v>0.7841503068159964</v>
      </c>
      <c r="L18" s="9"/>
      <c r="AG18" s="9"/>
    </row>
    <row r="19" spans="1:12" ht="12.75">
      <c r="A19">
        <f t="shared" si="1"/>
        <v>2006</v>
      </c>
      <c r="C19" s="1"/>
      <c r="D19" s="1">
        <f t="shared" si="5"/>
        <v>1.151964303616</v>
      </c>
      <c r="E19" s="1">
        <f t="shared" si="3"/>
        <v>0.8694070215969812</v>
      </c>
      <c r="F19" s="1"/>
      <c r="G19" s="1"/>
      <c r="H19" s="1">
        <f t="shared" si="6"/>
        <v>1.4506264209814566</v>
      </c>
      <c r="I19" s="1">
        <f t="shared" si="4"/>
        <v>1.094812393193552</v>
      </c>
      <c r="J19" s="1"/>
      <c r="K19" s="1">
        <f t="shared" si="2"/>
        <v>0.794115071223238</v>
      </c>
      <c r="L19" s="9"/>
    </row>
    <row r="20" spans="1:12" ht="12.75">
      <c r="A20">
        <f t="shared" si="1"/>
        <v>2007</v>
      </c>
      <c r="C20" s="1"/>
      <c r="D20" s="1">
        <f t="shared" si="5"/>
        <v>1.1934350185461762</v>
      </c>
      <c r="E20" s="1">
        <f t="shared" si="3"/>
        <v>0.9007056743744726</v>
      </c>
      <c r="F20" s="1"/>
      <c r="G20" s="1"/>
      <c r="H20" s="1">
        <f t="shared" si="6"/>
        <v>1.48399082866403</v>
      </c>
      <c r="I20" s="1">
        <f t="shared" si="4"/>
        <v>1.1199930782370038</v>
      </c>
      <c r="J20" s="1"/>
      <c r="K20" s="1">
        <f t="shared" si="2"/>
        <v>0.8042064650902</v>
      </c>
      <c r="L20" s="9"/>
    </row>
    <row r="21" spans="1:21" ht="12.75">
      <c r="A21">
        <f t="shared" si="1"/>
        <v>2008</v>
      </c>
      <c r="C21" s="1"/>
      <c r="D21" s="1">
        <f t="shared" si="5"/>
        <v>1.2363986792138386</v>
      </c>
      <c r="E21" s="1">
        <f t="shared" si="3"/>
        <v>0.9331310786519537</v>
      </c>
      <c r="F21" s="1"/>
      <c r="G21" s="1"/>
      <c r="H21" s="1">
        <f t="shared" si="6"/>
        <v>1.5181226177233025</v>
      </c>
      <c r="I21" s="1">
        <f t="shared" si="4"/>
        <v>1.1457529190364548</v>
      </c>
      <c r="J21" s="1"/>
      <c r="K21" s="1">
        <f t="shared" si="2"/>
        <v>0.8144260975889025</v>
      </c>
      <c r="L21" s="9"/>
      <c r="M21" s="9"/>
      <c r="O21" s="9"/>
      <c r="P21" s="9"/>
      <c r="T21" s="27"/>
      <c r="U21" s="9"/>
    </row>
    <row r="22" spans="1:21" ht="12.75">
      <c r="A22">
        <f t="shared" si="1"/>
        <v>2009</v>
      </c>
      <c r="C22" s="1"/>
      <c r="D22" s="1">
        <f t="shared" si="5"/>
        <v>1.280909031665537</v>
      </c>
      <c r="E22" s="1">
        <f t="shared" si="3"/>
        <v>0.9667237974834242</v>
      </c>
      <c r="F22" s="1"/>
      <c r="G22" s="1"/>
      <c r="H22" s="1">
        <f t="shared" si="6"/>
        <v>1.5530394379309382</v>
      </c>
      <c r="I22" s="1">
        <f t="shared" si="4"/>
        <v>1.172105236174293</v>
      </c>
      <c r="J22" s="1"/>
      <c r="K22" s="1">
        <f t="shared" si="2"/>
        <v>0.824775598340277</v>
      </c>
      <c r="L22" s="9"/>
      <c r="M22" s="9"/>
      <c r="O22" s="9"/>
      <c r="P22" s="1"/>
      <c r="T22" s="27"/>
      <c r="U22" s="9"/>
    </row>
    <row r="23" spans="1:21" ht="12.75">
      <c r="A23">
        <f t="shared" si="1"/>
        <v>2010</v>
      </c>
      <c r="C23" s="1"/>
      <c r="D23" s="1">
        <f t="shared" si="5"/>
        <v>1.3270217568054963</v>
      </c>
      <c r="E23" s="1">
        <f t="shared" si="3"/>
        <v>1.0015258541928274</v>
      </c>
      <c r="F23" s="1"/>
      <c r="G23" s="1"/>
      <c r="H23" s="1">
        <f t="shared" si="6"/>
        <v>1.5887593450033497</v>
      </c>
      <c r="I23" s="1">
        <f t="shared" si="4"/>
        <v>1.1990636566063018</v>
      </c>
      <c r="J23" s="1"/>
      <c r="K23" s="1">
        <f t="shared" si="2"/>
        <v>0.8352566176740243</v>
      </c>
      <c r="L23" s="9"/>
      <c r="M23" s="9"/>
      <c r="N23" s="11"/>
      <c r="O23" s="9"/>
      <c r="P23" s="1"/>
      <c r="T23" s="27"/>
      <c r="U23" s="9"/>
    </row>
    <row r="24" spans="1:21" ht="12.75">
      <c r="A24">
        <f t="shared" si="1"/>
        <v>2011</v>
      </c>
      <c r="C24" s="1"/>
      <c r="D24" s="1">
        <f t="shared" si="5"/>
        <v>1.3747945400504942</v>
      </c>
      <c r="E24" s="1">
        <f t="shared" si="3"/>
        <v>1.0375807849437693</v>
      </c>
      <c r="F24" s="1"/>
      <c r="G24" s="1"/>
      <c r="H24" s="1">
        <f t="shared" si="6"/>
        <v>1.6253008099384265</v>
      </c>
      <c r="I24" s="1">
        <f t="shared" si="4"/>
        <v>1.2266421207082465</v>
      </c>
      <c r="J24" s="1"/>
      <c r="K24" s="1">
        <f t="shared" si="2"/>
        <v>0.8458708268917785</v>
      </c>
      <c r="L24" s="9"/>
      <c r="M24" s="9"/>
      <c r="N24" s="11"/>
      <c r="O24" s="9"/>
      <c r="P24" s="1"/>
      <c r="T24" s="27"/>
      <c r="U24" s="9"/>
    </row>
    <row r="25" spans="1:21" ht="12.75">
      <c r="A25">
        <f t="shared" si="1"/>
        <v>2012</v>
      </c>
      <c r="C25" s="1"/>
      <c r="D25" s="1">
        <f t="shared" si="5"/>
        <v>1.4242871434923121</v>
      </c>
      <c r="E25" s="1">
        <f t="shared" si="3"/>
        <v>1.074933693201745</v>
      </c>
      <c r="F25" s="1"/>
      <c r="G25" s="1"/>
      <c r="H25" s="1">
        <f t="shared" si="6"/>
        <v>1.6626827285670103</v>
      </c>
      <c r="I25" s="1">
        <f t="shared" si="4"/>
        <v>1.2548548894845362</v>
      </c>
      <c r="J25" s="1"/>
      <c r="K25" s="1">
        <f t="shared" si="2"/>
        <v>0.8566199185336096</v>
      </c>
      <c r="L25" s="9"/>
      <c r="M25" s="9"/>
      <c r="N25" s="11"/>
      <c r="O25" s="9"/>
      <c r="P25" s="1"/>
      <c r="T25" s="27"/>
      <c r="U25" s="9"/>
    </row>
    <row r="26" spans="1:21" ht="12.75">
      <c r="A26">
        <f t="shared" si="1"/>
        <v>2013</v>
      </c>
      <c r="C26" s="1"/>
      <c r="D26" s="1">
        <f t="shared" si="5"/>
        <v>1.4755614806580355</v>
      </c>
      <c r="E26" s="1">
        <f t="shared" si="3"/>
        <v>1.113631306157008</v>
      </c>
      <c r="F26" s="1">
        <f>E26</f>
        <v>1.113631306157008</v>
      </c>
      <c r="G26" s="1"/>
      <c r="H26" s="1">
        <f t="shared" si="6"/>
        <v>1.7009244313240515</v>
      </c>
      <c r="I26" s="1">
        <f t="shared" si="4"/>
        <v>1.2837165519426803</v>
      </c>
      <c r="J26" s="1"/>
      <c r="K26" s="1">
        <f>F26/I26</f>
        <v>0.8675056066479176</v>
      </c>
      <c r="L26" s="9"/>
      <c r="M26" s="9"/>
      <c r="N26" s="11"/>
      <c r="O26" s="9"/>
      <c r="P26" s="1"/>
      <c r="T26" s="27"/>
      <c r="U26" s="9"/>
    </row>
    <row r="27" spans="1:21" ht="12.75">
      <c r="A27">
        <f t="shared" si="1"/>
        <v>2014</v>
      </c>
      <c r="C27" s="1"/>
      <c r="D27" s="1">
        <f t="shared" si="5"/>
        <v>1.528681693961725</v>
      </c>
      <c r="E27" s="1"/>
      <c r="F27" s="1">
        <f aca="true" t="shared" si="7" ref="F27:F43">D27/1.325</f>
        <v>1.1537220331786604</v>
      </c>
      <c r="G27" s="1"/>
      <c r="H27" s="1">
        <f t="shared" si="6"/>
        <v>1.7400456932445045</v>
      </c>
      <c r="I27" s="1">
        <f aca="true" t="shared" si="8" ref="I27:I43">H27/1.325</f>
        <v>1.313242032637362</v>
      </c>
      <c r="K27" s="1">
        <f aca="true" t="shared" si="9" ref="K27:K43">F27/I27</f>
        <v>0.8785296270647535</v>
      </c>
      <c r="L27" s="9"/>
      <c r="M27" s="9"/>
      <c r="N27" s="11"/>
      <c r="O27" s="9"/>
      <c r="P27" s="1"/>
      <c r="T27" s="27"/>
      <c r="U27" s="9"/>
    </row>
    <row r="28" spans="1:21" ht="12.75">
      <c r="A28">
        <f t="shared" si="1"/>
        <v>2015</v>
      </c>
      <c r="C28" s="1"/>
      <c r="D28" s="1">
        <f t="shared" si="5"/>
        <v>1.5837142349443472</v>
      </c>
      <c r="E28" s="1"/>
      <c r="F28" s="1">
        <f t="shared" si="7"/>
        <v>1.1952560263730923</v>
      </c>
      <c r="G28" s="1"/>
      <c r="H28" s="1">
        <f t="shared" si="6"/>
        <v>1.780066744189128</v>
      </c>
      <c r="I28" s="1">
        <f t="shared" si="8"/>
        <v>1.3434465993880211</v>
      </c>
      <c r="K28" s="1">
        <f t="shared" si="9"/>
        <v>0.8896937376726146</v>
      </c>
      <c r="L28" s="9"/>
      <c r="M28" s="9"/>
      <c r="N28" s="11"/>
      <c r="O28" s="9"/>
      <c r="P28" s="1"/>
      <c r="T28" s="27"/>
      <c r="U28" s="9"/>
    </row>
    <row r="29" spans="1:21" ht="12.75">
      <c r="A29">
        <f t="shared" si="1"/>
        <v>2016</v>
      </c>
      <c r="C29" s="1"/>
      <c r="D29" s="1">
        <f t="shared" si="5"/>
        <v>1.6407279474023437</v>
      </c>
      <c r="E29" s="1"/>
      <c r="F29" s="1">
        <f t="shared" si="7"/>
        <v>1.2382852433225235</v>
      </c>
      <c r="G29" s="1"/>
      <c r="H29" s="1">
        <f t="shared" si="6"/>
        <v>1.8210082793054778</v>
      </c>
      <c r="I29" s="1">
        <f t="shared" si="8"/>
        <v>1.3743458711739456</v>
      </c>
      <c r="K29" s="1">
        <f t="shared" si="9"/>
        <v>0.9009997186987573</v>
      </c>
      <c r="L29" s="9"/>
      <c r="M29" s="9"/>
      <c r="N29" s="11"/>
      <c r="O29" s="9"/>
      <c r="P29" s="1"/>
      <c r="T29" s="27"/>
      <c r="U29" s="9"/>
    </row>
    <row r="30" spans="1:21" ht="12.75">
      <c r="A30">
        <f t="shared" si="1"/>
        <v>2017</v>
      </c>
      <c r="C30" s="1"/>
      <c r="D30" s="1">
        <f t="shared" si="5"/>
        <v>1.6997941535088281</v>
      </c>
      <c r="E30" s="1"/>
      <c r="F30" s="1">
        <f t="shared" si="7"/>
        <v>1.2828635120821346</v>
      </c>
      <c r="G30" s="1"/>
      <c r="H30" s="1">
        <f t="shared" si="6"/>
        <v>1.8628914697295036</v>
      </c>
      <c r="I30" s="1">
        <f t="shared" si="8"/>
        <v>1.4059558262109462</v>
      </c>
      <c r="K30" s="1">
        <f t="shared" si="9"/>
        <v>0.9124493729930722</v>
      </c>
      <c r="L30" s="9"/>
      <c r="M30" s="9"/>
      <c r="N30" s="11"/>
      <c r="O30" s="9"/>
      <c r="P30" s="1"/>
      <c r="T30" s="27"/>
      <c r="U30" s="9"/>
    </row>
    <row r="31" spans="1:21" ht="12.75">
      <c r="A31">
        <f t="shared" si="1"/>
        <v>2018</v>
      </c>
      <c r="C31" s="1"/>
      <c r="D31" s="1">
        <f t="shared" si="5"/>
        <v>1.760986743035146</v>
      </c>
      <c r="E31" s="1"/>
      <c r="F31" s="1">
        <f t="shared" si="7"/>
        <v>1.3290465985170914</v>
      </c>
      <c r="G31" s="1"/>
      <c r="H31" s="1">
        <f t="shared" si="6"/>
        <v>1.905737973533282</v>
      </c>
      <c r="I31" s="1">
        <f t="shared" si="8"/>
        <v>1.4382928102137977</v>
      </c>
      <c r="K31" s="1">
        <f t="shared" si="9"/>
        <v>0.9240445263155649</v>
      </c>
      <c r="L31" s="9"/>
      <c r="M31" s="9"/>
      <c r="N31" s="11"/>
      <c r="O31" s="9"/>
      <c r="P31" s="1"/>
      <c r="T31" s="27"/>
      <c r="U31" s="9"/>
    </row>
    <row r="32" spans="1:11" ht="12.75">
      <c r="A32">
        <f t="shared" si="1"/>
        <v>2019</v>
      </c>
      <c r="C32" s="1"/>
      <c r="D32" s="1">
        <f t="shared" si="5"/>
        <v>1.8243822657844113</v>
      </c>
      <c r="E32" s="1"/>
      <c r="F32" s="1">
        <f t="shared" si="7"/>
        <v>1.3768922760637068</v>
      </c>
      <c r="G32" s="1"/>
      <c r="H32" s="1">
        <f t="shared" si="6"/>
        <v>1.9495699469245473</v>
      </c>
      <c r="I32" s="1">
        <f t="shared" si="8"/>
        <v>1.471373544848715</v>
      </c>
      <c r="K32" s="1">
        <f t="shared" si="9"/>
        <v>0.935787027627493</v>
      </c>
    </row>
    <row r="33" spans="1:11" ht="12.75">
      <c r="A33">
        <f t="shared" si="1"/>
        <v>2020</v>
      </c>
      <c r="C33" s="1"/>
      <c r="D33" s="1">
        <f t="shared" si="5"/>
        <v>1.8900600273526502</v>
      </c>
      <c r="E33" s="1"/>
      <c r="F33" s="1">
        <f t="shared" si="7"/>
        <v>1.4264603980020003</v>
      </c>
      <c r="G33" s="1"/>
      <c r="H33" s="1">
        <f t="shared" si="6"/>
        <v>1.9944100557038118</v>
      </c>
      <c r="I33" s="1">
        <f t="shared" si="8"/>
        <v>1.5052151363802353</v>
      </c>
      <c r="K33" s="1">
        <f t="shared" si="9"/>
        <v>0.9476787493862003</v>
      </c>
    </row>
    <row r="34" spans="1:11" ht="12.75">
      <c r="A34">
        <f t="shared" si="1"/>
        <v>2021</v>
      </c>
      <c r="C34" s="1"/>
      <c r="D34" s="1">
        <f t="shared" si="5"/>
        <v>1.9581021883373457</v>
      </c>
      <c r="E34" s="1"/>
      <c r="F34" s="1">
        <f t="shared" si="7"/>
        <v>1.4778129723300724</v>
      </c>
      <c r="G34" s="1"/>
      <c r="H34" s="1">
        <f t="shared" si="6"/>
        <v>2.0402814869849992</v>
      </c>
      <c r="I34" s="1">
        <f t="shared" si="8"/>
        <v>1.5398350845169806</v>
      </c>
      <c r="K34" s="1">
        <f t="shared" si="9"/>
        <v>0.9597215878436985</v>
      </c>
    </row>
    <row r="35" spans="1:11" ht="12.75">
      <c r="A35">
        <f t="shared" si="1"/>
        <v>2022</v>
      </c>
      <c r="C35" s="1"/>
      <c r="D35" s="1">
        <f t="shared" si="5"/>
        <v>2.02859386711749</v>
      </c>
      <c r="E35" s="1"/>
      <c r="F35" s="1">
        <f t="shared" si="7"/>
        <v>1.5310142393339548</v>
      </c>
      <c r="G35" s="1"/>
      <c r="H35" s="1">
        <f t="shared" si="6"/>
        <v>2.087207961185654</v>
      </c>
      <c r="I35" s="1">
        <f t="shared" si="8"/>
        <v>1.575251291460871</v>
      </c>
      <c r="K35" s="1">
        <f t="shared" si="9"/>
        <v>0.9719174633490437</v>
      </c>
    </row>
    <row r="36" spans="1:11" ht="12.75">
      <c r="A36">
        <f t="shared" si="1"/>
        <v>2023</v>
      </c>
      <c r="C36" s="1"/>
      <c r="D36" s="1">
        <f t="shared" si="5"/>
        <v>2.1016232463337197</v>
      </c>
      <c r="E36" s="1"/>
      <c r="F36" s="1">
        <f t="shared" si="7"/>
        <v>1.5861307519499772</v>
      </c>
      <c r="G36" s="1"/>
      <c r="H36" s="1">
        <f t="shared" si="6"/>
        <v>2.135213744292924</v>
      </c>
      <c r="I36" s="1">
        <f t="shared" si="8"/>
        <v>1.611482071164471</v>
      </c>
      <c r="K36" s="1">
        <f t="shared" si="9"/>
        <v>0.9842683206545545</v>
      </c>
    </row>
    <row r="37" spans="1:21" ht="12.75">
      <c r="A37">
        <f t="shared" si="1"/>
        <v>2024</v>
      </c>
      <c r="C37" s="1"/>
      <c r="D37" s="1">
        <f t="shared" si="5"/>
        <v>2.1772816832017337</v>
      </c>
      <c r="E37" s="1"/>
      <c r="F37" s="1">
        <f t="shared" si="7"/>
        <v>1.6432314590201764</v>
      </c>
      <c r="G37" s="1"/>
      <c r="H37" s="1">
        <f t="shared" si="6"/>
        <v>2.184323660411661</v>
      </c>
      <c r="I37" s="1">
        <f t="shared" si="8"/>
        <v>1.6485461588012535</v>
      </c>
      <c r="K37" s="1">
        <f t="shared" si="9"/>
        <v>0.9967761292259225</v>
      </c>
      <c r="L37" s="9"/>
      <c r="M37" s="9"/>
      <c r="O37" s="9"/>
      <c r="P37" s="9"/>
      <c r="T37" s="27"/>
      <c r="U37" s="9"/>
    </row>
    <row r="38" spans="1:21" ht="12.75">
      <c r="A38">
        <f t="shared" si="1"/>
        <v>2025</v>
      </c>
      <c r="C38" s="1"/>
      <c r="D38" s="1">
        <f t="shared" si="5"/>
        <v>2.255663823796996</v>
      </c>
      <c r="E38" s="1"/>
      <c r="F38" s="1">
        <f t="shared" si="7"/>
        <v>1.7023877915449028</v>
      </c>
      <c r="G38" s="1"/>
      <c r="H38" s="1">
        <f t="shared" si="6"/>
        <v>2.2345631046011287</v>
      </c>
      <c r="I38" s="1">
        <f t="shared" si="8"/>
        <v>1.6864627204536822</v>
      </c>
      <c r="K38" s="207">
        <f t="shared" si="9"/>
        <v>1.0094428835562619</v>
      </c>
      <c r="L38" s="9"/>
      <c r="M38" s="9"/>
      <c r="O38" s="9"/>
      <c r="P38" s="1"/>
      <c r="T38" s="27"/>
      <c r="U38" s="9"/>
    </row>
    <row r="39" spans="1:21" ht="12.75">
      <c r="A39">
        <f t="shared" si="1"/>
        <v>2026</v>
      </c>
      <c r="D39" s="1">
        <f t="shared" si="5"/>
        <v>2.336867721453688</v>
      </c>
      <c r="F39" s="1">
        <f t="shared" si="7"/>
        <v>1.7636737520405195</v>
      </c>
      <c r="G39" s="9"/>
      <c r="H39" s="1">
        <f t="shared" si="6"/>
        <v>2.2859580560069546</v>
      </c>
      <c r="I39" s="1">
        <f t="shared" si="8"/>
        <v>1.7252513630241166</v>
      </c>
      <c r="J39" s="9"/>
      <c r="K39" s="1">
        <f t="shared" si="9"/>
        <v>1.022270603484152</v>
      </c>
      <c r="L39" s="9"/>
      <c r="M39" s="9"/>
      <c r="N39" s="11"/>
      <c r="O39" s="9"/>
      <c r="P39" s="1"/>
      <c r="T39" s="27"/>
      <c r="U39" s="9"/>
    </row>
    <row r="40" spans="1:21" ht="12.75">
      <c r="A40">
        <f t="shared" si="1"/>
        <v>2027</v>
      </c>
      <c r="D40" s="1">
        <f t="shared" si="5"/>
        <v>2.420994959426021</v>
      </c>
      <c r="F40" s="1">
        <f t="shared" si="7"/>
        <v>1.8271660071139784</v>
      </c>
      <c r="G40" s="9"/>
      <c r="H40" s="1">
        <f t="shared" si="6"/>
        <v>2.3385350912951144</v>
      </c>
      <c r="I40" s="1">
        <f t="shared" si="8"/>
        <v>1.7649321443736712</v>
      </c>
      <c r="J40" s="9"/>
      <c r="K40" s="1">
        <f t="shared" si="9"/>
        <v>1.03526133451572</v>
      </c>
      <c r="L40" s="9"/>
      <c r="M40" s="9"/>
      <c r="N40" s="11"/>
      <c r="O40" s="9"/>
      <c r="P40" s="1"/>
      <c r="T40" s="27"/>
      <c r="U40" s="9"/>
    </row>
    <row r="41" spans="1:21" ht="12.75">
      <c r="A41">
        <f t="shared" si="1"/>
        <v>2028</v>
      </c>
      <c r="D41" s="1">
        <f t="shared" si="5"/>
        <v>2.508150777965358</v>
      </c>
      <c r="F41" s="1">
        <f t="shared" si="7"/>
        <v>1.8929439833700816</v>
      </c>
      <c r="G41" s="9"/>
      <c r="H41" s="1">
        <f t="shared" si="6"/>
        <v>2.392321398394902</v>
      </c>
      <c r="I41" s="1">
        <f t="shared" si="8"/>
        <v>1.8055255836942656</v>
      </c>
      <c r="J41" s="9"/>
      <c r="K41" s="1">
        <f t="shared" si="9"/>
        <v>1.0484171481508173</v>
      </c>
      <c r="L41" s="9"/>
      <c r="M41" s="9"/>
      <c r="N41" s="11"/>
      <c r="O41" s="9"/>
      <c r="P41" s="1"/>
      <c r="T41" s="27"/>
      <c r="U41" s="9"/>
    </row>
    <row r="42" spans="1:21" ht="12.75">
      <c r="A42">
        <f t="shared" si="1"/>
        <v>2029</v>
      </c>
      <c r="D42" s="1">
        <f t="shared" si="5"/>
        <v>2.598444205972111</v>
      </c>
      <c r="F42" s="1">
        <f t="shared" si="7"/>
        <v>1.9610899667714048</v>
      </c>
      <c r="G42" s="9"/>
      <c r="H42" s="1">
        <f t="shared" si="6"/>
        <v>2.4473447905579846</v>
      </c>
      <c r="I42" s="1">
        <f t="shared" si="8"/>
        <v>1.8470526721192337</v>
      </c>
      <c r="J42" s="9"/>
      <c r="K42" s="1">
        <f t="shared" si="9"/>
        <v>1.06174014221334</v>
      </c>
      <c r="L42" s="9"/>
      <c r="M42" s="9"/>
      <c r="N42" s="11"/>
      <c r="O42" s="9"/>
      <c r="P42" s="1"/>
      <c r="T42" s="27"/>
      <c r="U42" s="9"/>
    </row>
    <row r="43" spans="1:21" ht="12.75">
      <c r="A43">
        <f t="shared" si="1"/>
        <v>2030</v>
      </c>
      <c r="D43" s="1">
        <f t="shared" si="5"/>
        <v>2.6919881973871074</v>
      </c>
      <c r="F43" s="1">
        <f t="shared" si="7"/>
        <v>2.0316892055751756</v>
      </c>
      <c r="G43" s="9"/>
      <c r="H43" s="1">
        <f t="shared" si="6"/>
        <v>2.503633720740818</v>
      </c>
      <c r="I43" s="1">
        <f t="shared" si="8"/>
        <v>1.889534883577976</v>
      </c>
      <c r="J43" s="9"/>
      <c r="K43" s="1">
        <f t="shared" si="9"/>
        <v>1.0752324411857481</v>
      </c>
      <c r="L43" s="9"/>
      <c r="M43" s="9"/>
      <c r="N43" s="11"/>
      <c r="O43" s="9"/>
      <c r="P43" s="1"/>
      <c r="T43" s="27"/>
      <c r="U43" s="9"/>
    </row>
    <row r="44" spans="6:21" ht="12.75">
      <c r="F44" s="9"/>
      <c r="G44" s="9"/>
      <c r="H44" s="9"/>
      <c r="I44" s="9"/>
      <c r="J44" s="9"/>
      <c r="K44" s="9"/>
      <c r="L44" s="9"/>
      <c r="M44" s="9"/>
      <c r="N44" s="11"/>
      <c r="O44" s="9"/>
      <c r="P44" s="1"/>
      <c r="T44" s="27"/>
      <c r="U44" s="9"/>
    </row>
    <row r="45" spans="6:21" ht="12.75">
      <c r="F45" s="9"/>
      <c r="G45" s="9"/>
      <c r="H45" s="9"/>
      <c r="I45" s="9"/>
      <c r="J45" s="9"/>
      <c r="K45" s="9"/>
      <c r="L45" s="9"/>
      <c r="M45" s="9"/>
      <c r="N45" s="11"/>
      <c r="O45" s="9"/>
      <c r="P45" s="1"/>
      <c r="T45" s="27"/>
      <c r="U45" s="9"/>
    </row>
    <row r="46" spans="6:21" ht="12.75">
      <c r="F46" s="9"/>
      <c r="G46" s="9"/>
      <c r="H46" s="9"/>
      <c r="I46" s="9"/>
      <c r="J46" s="9"/>
      <c r="K46" s="9"/>
      <c r="L46" s="9"/>
      <c r="M46" s="9"/>
      <c r="N46" s="11"/>
      <c r="O46" s="9"/>
      <c r="P46" s="1"/>
      <c r="T46" s="27"/>
      <c r="U46" s="9"/>
    </row>
    <row r="47" spans="6:21" ht="12.75">
      <c r="F47" s="9"/>
      <c r="G47" s="9"/>
      <c r="H47" s="9"/>
      <c r="I47" s="9"/>
      <c r="J47" s="9"/>
      <c r="K47" s="9"/>
      <c r="L47" s="9"/>
      <c r="M47" s="9"/>
      <c r="N47" s="11"/>
      <c r="O47" s="9"/>
      <c r="P47" s="1"/>
      <c r="T47" s="27"/>
      <c r="U47" s="9"/>
    </row>
  </sheetData>
  <printOptions/>
  <pageMargins left="0.75" right="0.75" top="1" bottom="1" header="0.5" footer="0.5"/>
  <pageSetup horizontalDpi="600" verticalDpi="600" orientation="portrait" paperSize="9" r:id="rId2"/>
  <drawing r:id="rId1"/>
</worksheet>
</file>

<file path=xl/worksheets/sheet55.xml><?xml version="1.0" encoding="utf-8"?>
<worksheet xmlns="http://schemas.openxmlformats.org/spreadsheetml/2006/main" xmlns:r="http://schemas.openxmlformats.org/officeDocument/2006/relationships">
  <dimension ref="A1:A1"/>
  <sheetViews>
    <sheetView workbookViewId="0" topLeftCell="A1">
      <selection activeCell="N4" sqref="N4"/>
    </sheetView>
  </sheetViews>
  <sheetFormatPr defaultColWidth="9.140625" defaultRowHeight="12.75"/>
  <sheetData/>
  <printOptions/>
  <pageMargins left="0.75" right="0.75" top="1" bottom="1" header="0.5" footer="0.5"/>
  <pageSetup orientation="portrait" paperSize="9"/>
  <drawing r:id="rId1"/>
</worksheet>
</file>

<file path=xl/worksheets/sheet56.xml><?xml version="1.0" encoding="utf-8"?>
<worksheet xmlns="http://schemas.openxmlformats.org/spreadsheetml/2006/main" xmlns:r="http://schemas.openxmlformats.org/officeDocument/2006/relationships">
  <dimension ref="A1:AG47"/>
  <sheetViews>
    <sheetView workbookViewId="0" topLeftCell="A1">
      <selection activeCell="A45" sqref="A45"/>
    </sheetView>
  </sheetViews>
  <sheetFormatPr defaultColWidth="9.140625" defaultRowHeight="12.75"/>
  <cols>
    <col min="4" max="4" width="15.8515625" style="0" customWidth="1"/>
    <col min="5" max="5" width="25.00390625" style="0" customWidth="1"/>
    <col min="6" max="6" width="18.140625" style="0" customWidth="1"/>
    <col min="7" max="7" width="15.57421875" style="0" customWidth="1"/>
    <col min="8" max="8" width="18.140625" style="0" customWidth="1"/>
    <col min="9" max="9" width="30.00390625" style="0" customWidth="1"/>
    <col min="15" max="15" width="15.00390625" style="0" customWidth="1"/>
    <col min="25" max="25" width="12.421875" style="0" bestFit="1" customWidth="1"/>
  </cols>
  <sheetData>
    <row r="1" ht="12.75">
      <c r="A1" t="s">
        <v>475</v>
      </c>
    </row>
    <row r="3" spans="3:33" ht="12.75">
      <c r="C3" t="s">
        <v>91</v>
      </c>
      <c r="D3" t="s">
        <v>89</v>
      </c>
      <c r="E3" t="s">
        <v>91</v>
      </c>
      <c r="F3" t="s">
        <v>102</v>
      </c>
      <c r="G3" t="s">
        <v>92</v>
      </c>
      <c r="H3" t="s">
        <v>90</v>
      </c>
      <c r="I3" t="s">
        <v>93</v>
      </c>
      <c r="J3" t="s">
        <v>103</v>
      </c>
      <c r="K3" t="s">
        <v>438</v>
      </c>
      <c r="AG3" t="s">
        <v>81</v>
      </c>
    </row>
    <row r="5" spans="1:33" ht="12.75">
      <c r="A5">
        <v>1992</v>
      </c>
      <c r="C5" s="1">
        <v>0.5114839022564043</v>
      </c>
      <c r="D5" s="1"/>
      <c r="E5" s="10"/>
      <c r="F5" s="1"/>
      <c r="G5" s="1"/>
      <c r="H5" s="1"/>
      <c r="I5" s="1"/>
      <c r="J5" s="9"/>
      <c r="K5" s="9"/>
      <c r="L5" s="9"/>
      <c r="M5" s="9"/>
      <c r="O5" s="9"/>
      <c r="P5" s="9"/>
      <c r="T5" s="27"/>
      <c r="U5" s="9"/>
      <c r="Y5" s="27"/>
      <c r="AA5" s="27"/>
      <c r="AB5" s="27"/>
      <c r="AC5" s="27"/>
      <c r="AG5" t="e">
        <f aca="true" t="shared" si="0" ref="AG5:AG14">LN(AD5)</f>
        <v>#NUM!</v>
      </c>
    </row>
    <row r="6" spans="1:33" ht="12.75">
      <c r="A6">
        <f aca="true" t="shared" si="1" ref="A6:A43">A5+1</f>
        <v>1993</v>
      </c>
      <c r="C6" s="1">
        <v>0.525947409284297</v>
      </c>
      <c r="D6" s="1"/>
      <c r="E6" s="10"/>
      <c r="F6" s="1"/>
      <c r="G6" s="1"/>
      <c r="H6" s="1"/>
      <c r="I6" s="1"/>
      <c r="J6" s="9"/>
      <c r="K6" s="9"/>
      <c r="L6" s="9"/>
      <c r="M6" s="1"/>
      <c r="O6" s="9"/>
      <c r="P6" s="1"/>
      <c r="T6" s="27"/>
      <c r="U6" s="9"/>
      <c r="Y6" s="27"/>
      <c r="AA6" s="27"/>
      <c r="AB6" s="27"/>
      <c r="AC6" s="27"/>
      <c r="AG6" t="e">
        <f t="shared" si="0"/>
        <v>#NUM!</v>
      </c>
    </row>
    <row r="7" spans="1:33" ht="12.75">
      <c r="A7">
        <f t="shared" si="1"/>
        <v>1994</v>
      </c>
      <c r="C7" s="1">
        <v>0.5539185570861477</v>
      </c>
      <c r="D7" s="1"/>
      <c r="E7" s="10"/>
      <c r="F7" s="1"/>
      <c r="G7" s="1"/>
      <c r="H7" s="1"/>
      <c r="I7" s="1"/>
      <c r="J7" s="9"/>
      <c r="K7" s="9"/>
      <c r="L7" s="9"/>
      <c r="M7" s="1"/>
      <c r="N7" s="11"/>
      <c r="O7" s="9"/>
      <c r="P7" s="1"/>
      <c r="T7" s="27"/>
      <c r="U7" s="9"/>
      <c r="Y7" s="27"/>
      <c r="AA7" s="27"/>
      <c r="AB7" s="27"/>
      <c r="AC7" s="27"/>
      <c r="AG7" t="e">
        <f t="shared" si="0"/>
        <v>#NUM!</v>
      </c>
    </row>
    <row r="8" spans="1:33" ht="12.75">
      <c r="A8">
        <f t="shared" si="1"/>
        <v>1995</v>
      </c>
      <c r="C8" s="1">
        <v>0.5766350631951401</v>
      </c>
      <c r="D8" s="1"/>
      <c r="E8" s="10"/>
      <c r="F8" s="1"/>
      <c r="G8" s="1"/>
      <c r="H8" s="1"/>
      <c r="I8" s="1"/>
      <c r="J8" s="9"/>
      <c r="K8" s="9"/>
      <c r="L8" s="9"/>
      <c r="M8" s="1"/>
      <c r="N8" s="11"/>
      <c r="O8" s="9"/>
      <c r="P8" s="1"/>
      <c r="T8" s="27"/>
      <c r="U8" s="9"/>
      <c r="Y8" s="27"/>
      <c r="AA8" s="27"/>
      <c r="AB8" s="27"/>
      <c r="AC8" s="27"/>
      <c r="AG8" t="e">
        <f t="shared" si="0"/>
        <v>#NUM!</v>
      </c>
    </row>
    <row r="9" spans="1:33" ht="12.75">
      <c r="A9">
        <f t="shared" si="1"/>
        <v>1996</v>
      </c>
      <c r="C9" s="1">
        <v>0.5978752651855527</v>
      </c>
      <c r="D9" s="1"/>
      <c r="E9" s="10"/>
      <c r="F9" s="1"/>
      <c r="G9" s="1"/>
      <c r="H9" s="1"/>
      <c r="I9" s="1"/>
      <c r="J9" s="9"/>
      <c r="K9" s="9"/>
      <c r="L9" s="9"/>
      <c r="M9" s="1"/>
      <c r="N9" s="11"/>
      <c r="O9" s="9"/>
      <c r="P9" s="1"/>
      <c r="T9" s="27"/>
      <c r="U9" s="9"/>
      <c r="Y9" s="27"/>
      <c r="AA9" s="27"/>
      <c r="AB9" s="27"/>
      <c r="AC9" s="27"/>
      <c r="AG9" t="e">
        <f t="shared" si="0"/>
        <v>#NUM!</v>
      </c>
    </row>
    <row r="10" spans="1:33" ht="12.75">
      <c r="A10">
        <f t="shared" si="1"/>
        <v>1997</v>
      </c>
      <c r="C10" s="1">
        <v>0.6264357118051106</v>
      </c>
      <c r="D10" s="1"/>
      <c r="E10" s="10"/>
      <c r="F10" s="1"/>
      <c r="G10" s="1"/>
      <c r="H10" s="1"/>
      <c r="I10" s="1"/>
      <c r="J10" s="9"/>
      <c r="K10" s="9"/>
      <c r="L10" s="9"/>
      <c r="M10" s="1"/>
      <c r="N10" s="11"/>
      <c r="O10" s="9"/>
      <c r="P10" s="1"/>
      <c r="T10" s="27"/>
      <c r="U10" s="9"/>
      <c r="Y10" s="27"/>
      <c r="AA10" s="27"/>
      <c r="AB10" s="27"/>
      <c r="AC10" s="27"/>
      <c r="AG10" t="e">
        <f t="shared" si="0"/>
        <v>#NUM!</v>
      </c>
    </row>
    <row r="11" spans="1:33" ht="12.75">
      <c r="A11">
        <f t="shared" si="1"/>
        <v>1998</v>
      </c>
      <c r="C11" s="1">
        <v>0.6486085969013878</v>
      </c>
      <c r="D11" s="1"/>
      <c r="E11" s="10"/>
      <c r="F11" s="1"/>
      <c r="G11" s="1"/>
      <c r="H11" s="1"/>
      <c r="I11" s="1"/>
      <c r="J11" s="9"/>
      <c r="K11" s="9"/>
      <c r="L11" s="9"/>
      <c r="M11" s="1"/>
      <c r="N11" s="11"/>
      <c r="O11" s="9"/>
      <c r="P11" s="1"/>
      <c r="T11" s="27"/>
      <c r="U11" s="9"/>
      <c r="Y11" s="27"/>
      <c r="AA11" s="27"/>
      <c r="AB11" s="27"/>
      <c r="AC11" s="27"/>
      <c r="AG11" t="e">
        <f t="shared" si="0"/>
        <v>#NUM!</v>
      </c>
    </row>
    <row r="12" spans="1:33" ht="12.75">
      <c r="A12">
        <f t="shared" si="1"/>
        <v>1999</v>
      </c>
      <c r="C12" s="1">
        <v>0.6849166735085372</v>
      </c>
      <c r="D12" s="1"/>
      <c r="E12" s="10"/>
      <c r="F12" s="1"/>
      <c r="G12" s="1">
        <v>0.9917738913641962</v>
      </c>
      <c r="H12" s="1"/>
      <c r="I12" s="1"/>
      <c r="J12" s="9"/>
      <c r="K12" s="9"/>
      <c r="L12" s="9"/>
      <c r="M12" s="1"/>
      <c r="N12" s="11"/>
      <c r="O12" s="9"/>
      <c r="P12" s="1"/>
      <c r="T12" s="27"/>
      <c r="U12" s="9"/>
      <c r="Y12" s="27"/>
      <c r="AA12" s="27"/>
      <c r="AB12" s="27"/>
      <c r="AC12" s="27"/>
      <c r="AG12" t="e">
        <f t="shared" si="0"/>
        <v>#NUM!</v>
      </c>
    </row>
    <row r="13" spans="1:33" ht="12.75">
      <c r="A13">
        <f t="shared" si="1"/>
        <v>2000</v>
      </c>
      <c r="C13" s="1">
        <v>0.7118015420308904</v>
      </c>
      <c r="D13" s="1"/>
      <c r="E13" s="10"/>
      <c r="F13" s="1"/>
      <c r="G13" s="1">
        <v>0.9935960555902226</v>
      </c>
      <c r="H13" s="1"/>
      <c r="I13" s="1"/>
      <c r="J13" s="9"/>
      <c r="K13" s="9"/>
      <c r="L13" s="9"/>
      <c r="M13" s="1"/>
      <c r="N13" s="11"/>
      <c r="O13" s="9"/>
      <c r="P13" s="1"/>
      <c r="T13" s="27"/>
      <c r="U13" s="9"/>
      <c r="Y13" s="27"/>
      <c r="AA13" s="27"/>
      <c r="AB13" s="27"/>
      <c r="AC13" s="27"/>
      <c r="AG13" t="e">
        <f t="shared" si="0"/>
        <v>#NUM!</v>
      </c>
    </row>
    <row r="14" spans="1:33" ht="12.75">
      <c r="A14">
        <f t="shared" si="1"/>
        <v>2001</v>
      </c>
      <c r="C14" s="1">
        <v>0.730602685552169</v>
      </c>
      <c r="D14" s="1"/>
      <c r="E14" s="10"/>
      <c r="F14" s="1"/>
      <c r="G14" s="1">
        <v>0.9952092536590009</v>
      </c>
      <c r="H14" s="1"/>
      <c r="I14" s="1"/>
      <c r="J14" s="9"/>
      <c r="K14" s="9"/>
      <c r="L14" s="9"/>
      <c r="M14" s="1"/>
      <c r="N14" s="11"/>
      <c r="O14" s="9"/>
      <c r="P14" s="1"/>
      <c r="T14" s="27"/>
      <c r="U14" s="9"/>
      <c r="Y14" s="27"/>
      <c r="AA14" s="27"/>
      <c r="AB14" s="27"/>
      <c r="AC14" s="27"/>
      <c r="AG14" t="e">
        <f t="shared" si="0"/>
        <v>#NUM!</v>
      </c>
    </row>
    <row r="15" spans="1:29" ht="12.75">
      <c r="A15">
        <f t="shared" si="1"/>
        <v>2002</v>
      </c>
      <c r="C15" s="1">
        <v>0.7549999295613451</v>
      </c>
      <c r="D15" s="1">
        <v>1</v>
      </c>
      <c r="E15" s="1">
        <f aca="true" t="shared" si="2" ref="E15:E26">D15/1.325</f>
        <v>0.7547169811320755</v>
      </c>
      <c r="F15" s="1"/>
      <c r="G15" s="1">
        <v>0.9966002342010551</v>
      </c>
      <c r="H15" s="1">
        <v>1.3245033112582782</v>
      </c>
      <c r="I15" s="1">
        <f aca="true" t="shared" si="3" ref="I15:I45">H15/1.325</f>
        <v>0.9996251405722855</v>
      </c>
      <c r="J15" s="1"/>
      <c r="K15" s="1">
        <f aca="true" t="shared" si="4" ref="K15:K25">E15/I15</f>
        <v>0.755</v>
      </c>
      <c r="L15" s="9"/>
      <c r="M15" s="1"/>
      <c r="N15" s="11"/>
      <c r="O15" s="9"/>
      <c r="P15" s="1"/>
      <c r="T15" s="27"/>
      <c r="U15" s="9"/>
      <c r="Y15" s="27"/>
      <c r="AA15" s="1"/>
      <c r="AB15" s="1"/>
      <c r="AC15" s="1"/>
    </row>
    <row r="16" spans="1:14" ht="12.75">
      <c r="A16">
        <f t="shared" si="1"/>
        <v>2003</v>
      </c>
      <c r="C16" s="1"/>
      <c r="D16" s="1">
        <f aca="true" t="shared" si="5" ref="D16:D26">D15*(1.036)</f>
        <v>1.036</v>
      </c>
      <c r="E16" s="1">
        <f t="shared" si="2"/>
        <v>0.7818867924528302</v>
      </c>
      <c r="F16" s="1"/>
      <c r="G16" s="1"/>
      <c r="H16" s="1">
        <f aca="true" t="shared" si="6" ref="H16:H43">H15*(1.023)</f>
        <v>1.3549668874172185</v>
      </c>
      <c r="I16" s="1">
        <f t="shared" si="3"/>
        <v>1.022616518805448</v>
      </c>
      <c r="J16" s="1"/>
      <c r="K16" s="1">
        <f t="shared" si="4"/>
        <v>0.7645943304007821</v>
      </c>
      <c r="L16" s="9"/>
      <c r="N16" s="11"/>
    </row>
    <row r="17" spans="1:12" ht="12.75">
      <c r="A17">
        <f t="shared" si="1"/>
        <v>2004</v>
      </c>
      <c r="C17" s="1"/>
      <c r="D17" s="1">
        <f t="shared" si="5"/>
        <v>1.073296</v>
      </c>
      <c r="E17" s="1">
        <f t="shared" si="2"/>
        <v>0.8100347169811322</v>
      </c>
      <c r="F17" s="1"/>
      <c r="G17" s="1"/>
      <c r="H17" s="1">
        <f t="shared" si="6"/>
        <v>1.3861311258278144</v>
      </c>
      <c r="I17" s="1">
        <f t="shared" si="3"/>
        <v>1.0461366987379732</v>
      </c>
      <c r="J17" s="1"/>
      <c r="K17" s="1">
        <f t="shared" si="4"/>
        <v>0.7743105828887686</v>
      </c>
      <c r="L17" s="9"/>
    </row>
    <row r="18" spans="1:33" ht="12.75">
      <c r="A18">
        <f t="shared" si="1"/>
        <v>2005</v>
      </c>
      <c r="C18" s="1"/>
      <c r="D18" s="1">
        <f t="shared" si="5"/>
        <v>1.111934656</v>
      </c>
      <c r="E18" s="1">
        <f t="shared" si="2"/>
        <v>0.8391959667924529</v>
      </c>
      <c r="F18" s="1"/>
      <c r="G18" s="1"/>
      <c r="H18" s="1">
        <f t="shared" si="6"/>
        <v>1.418012141721854</v>
      </c>
      <c r="I18" s="1">
        <f t="shared" si="3"/>
        <v>1.0701978428089465</v>
      </c>
      <c r="J18" s="1"/>
      <c r="K18" s="1">
        <f t="shared" si="4"/>
        <v>0.7841503068159964</v>
      </c>
      <c r="L18" s="9"/>
      <c r="AG18" s="9"/>
    </row>
    <row r="19" spans="1:12" ht="12.75">
      <c r="A19">
        <f t="shared" si="1"/>
        <v>2006</v>
      </c>
      <c r="C19" s="1"/>
      <c r="D19" s="1">
        <f t="shared" si="5"/>
        <v>1.151964303616</v>
      </c>
      <c r="E19" s="1">
        <f t="shared" si="2"/>
        <v>0.8694070215969812</v>
      </c>
      <c r="F19" s="1"/>
      <c r="G19" s="1"/>
      <c r="H19" s="1">
        <f t="shared" si="6"/>
        <v>1.4506264209814566</v>
      </c>
      <c r="I19" s="1">
        <f t="shared" si="3"/>
        <v>1.094812393193552</v>
      </c>
      <c r="J19" s="1"/>
      <c r="K19" s="1">
        <f t="shared" si="4"/>
        <v>0.794115071223238</v>
      </c>
      <c r="L19" s="9"/>
    </row>
    <row r="20" spans="1:12" ht="12.75">
      <c r="A20">
        <f t="shared" si="1"/>
        <v>2007</v>
      </c>
      <c r="C20" s="1"/>
      <c r="D20" s="1">
        <f t="shared" si="5"/>
        <v>1.1934350185461762</v>
      </c>
      <c r="E20" s="1">
        <f t="shared" si="2"/>
        <v>0.9007056743744726</v>
      </c>
      <c r="F20" s="1"/>
      <c r="G20" s="1"/>
      <c r="H20" s="1">
        <f t="shared" si="6"/>
        <v>1.48399082866403</v>
      </c>
      <c r="I20" s="1">
        <f t="shared" si="3"/>
        <v>1.1199930782370038</v>
      </c>
      <c r="J20" s="1"/>
      <c r="K20" s="1">
        <f t="shared" si="4"/>
        <v>0.8042064650902</v>
      </c>
      <c r="L20" s="9"/>
    </row>
    <row r="21" spans="1:21" ht="12.75">
      <c r="A21">
        <f t="shared" si="1"/>
        <v>2008</v>
      </c>
      <c r="C21" s="1"/>
      <c r="D21" s="1">
        <f t="shared" si="5"/>
        <v>1.2363986792138386</v>
      </c>
      <c r="E21" s="1">
        <f t="shared" si="2"/>
        <v>0.9331310786519537</v>
      </c>
      <c r="F21" s="1"/>
      <c r="G21" s="1"/>
      <c r="H21" s="1">
        <f t="shared" si="6"/>
        <v>1.5181226177233025</v>
      </c>
      <c r="I21" s="1">
        <f t="shared" si="3"/>
        <v>1.1457529190364548</v>
      </c>
      <c r="J21" s="1"/>
      <c r="K21" s="1">
        <f t="shared" si="4"/>
        <v>0.8144260975889025</v>
      </c>
      <c r="L21" s="9"/>
      <c r="M21" s="9"/>
      <c r="O21" s="9"/>
      <c r="P21" s="9"/>
      <c r="T21" s="27"/>
      <c r="U21" s="9"/>
    </row>
    <row r="22" spans="1:21" ht="12.75">
      <c r="A22">
        <f t="shared" si="1"/>
        <v>2009</v>
      </c>
      <c r="C22" s="1"/>
      <c r="D22" s="1">
        <f t="shared" si="5"/>
        <v>1.280909031665537</v>
      </c>
      <c r="E22" s="1">
        <f t="shared" si="2"/>
        <v>0.9667237974834242</v>
      </c>
      <c r="F22" s="1"/>
      <c r="G22" s="1"/>
      <c r="H22" s="1">
        <f t="shared" si="6"/>
        <v>1.5530394379309382</v>
      </c>
      <c r="I22" s="1">
        <f t="shared" si="3"/>
        <v>1.172105236174293</v>
      </c>
      <c r="J22" s="1"/>
      <c r="K22" s="1">
        <f t="shared" si="4"/>
        <v>0.824775598340277</v>
      </c>
      <c r="L22" s="9"/>
      <c r="M22" s="9"/>
      <c r="O22" s="9"/>
      <c r="P22" s="1"/>
      <c r="T22" s="27"/>
      <c r="U22" s="9"/>
    </row>
    <row r="23" spans="1:21" ht="12.75">
      <c r="A23">
        <f t="shared" si="1"/>
        <v>2010</v>
      </c>
      <c r="C23" s="1"/>
      <c r="D23" s="1">
        <f t="shared" si="5"/>
        <v>1.3270217568054963</v>
      </c>
      <c r="E23" s="1">
        <f t="shared" si="2"/>
        <v>1.0015258541928274</v>
      </c>
      <c r="F23" s="1"/>
      <c r="G23" s="1"/>
      <c r="H23" s="1">
        <f t="shared" si="6"/>
        <v>1.5887593450033497</v>
      </c>
      <c r="I23" s="1">
        <f t="shared" si="3"/>
        <v>1.1990636566063018</v>
      </c>
      <c r="J23" s="1"/>
      <c r="K23" s="1">
        <f t="shared" si="4"/>
        <v>0.8352566176740243</v>
      </c>
      <c r="L23" s="9"/>
      <c r="M23" s="9"/>
      <c r="N23" s="11"/>
      <c r="O23" s="9"/>
      <c r="P23" s="1"/>
      <c r="T23" s="27"/>
      <c r="U23" s="9"/>
    </row>
    <row r="24" spans="1:21" ht="12.75">
      <c r="A24">
        <f t="shared" si="1"/>
        <v>2011</v>
      </c>
      <c r="C24" s="1"/>
      <c r="D24" s="1">
        <f t="shared" si="5"/>
        <v>1.3747945400504942</v>
      </c>
      <c r="E24" s="1">
        <f t="shared" si="2"/>
        <v>1.0375807849437693</v>
      </c>
      <c r="F24" s="1"/>
      <c r="G24" s="1"/>
      <c r="H24" s="1">
        <f t="shared" si="6"/>
        <v>1.6253008099384265</v>
      </c>
      <c r="I24" s="1">
        <f t="shared" si="3"/>
        <v>1.2266421207082465</v>
      </c>
      <c r="J24" s="1"/>
      <c r="K24" s="1">
        <f t="shared" si="4"/>
        <v>0.8458708268917785</v>
      </c>
      <c r="L24" s="9"/>
      <c r="M24" s="9"/>
      <c r="N24" s="11"/>
      <c r="O24" s="9"/>
      <c r="P24" s="1"/>
      <c r="T24" s="27"/>
      <c r="U24" s="9"/>
    </row>
    <row r="25" spans="1:21" ht="12.75">
      <c r="A25">
        <f t="shared" si="1"/>
        <v>2012</v>
      </c>
      <c r="C25" s="1"/>
      <c r="D25" s="1">
        <f t="shared" si="5"/>
        <v>1.4242871434923121</v>
      </c>
      <c r="E25" s="1">
        <f t="shared" si="2"/>
        <v>1.074933693201745</v>
      </c>
      <c r="F25" s="1"/>
      <c r="G25" s="1"/>
      <c r="H25" s="1">
        <f t="shared" si="6"/>
        <v>1.6626827285670103</v>
      </c>
      <c r="I25" s="1">
        <f t="shared" si="3"/>
        <v>1.2548548894845362</v>
      </c>
      <c r="J25" s="1"/>
      <c r="K25" s="1">
        <f t="shared" si="4"/>
        <v>0.8566199185336096</v>
      </c>
      <c r="L25" s="9"/>
      <c r="M25" s="9"/>
      <c r="N25" s="11"/>
      <c r="O25" s="9"/>
      <c r="P25" s="1"/>
      <c r="T25" s="27"/>
      <c r="U25" s="9"/>
    </row>
    <row r="26" spans="1:21" ht="12.75">
      <c r="A26">
        <f t="shared" si="1"/>
        <v>2013</v>
      </c>
      <c r="C26" s="1"/>
      <c r="D26" s="1">
        <f t="shared" si="5"/>
        <v>1.4755614806580355</v>
      </c>
      <c r="E26" s="1">
        <f t="shared" si="2"/>
        <v>1.113631306157008</v>
      </c>
      <c r="F26" s="1">
        <f>E26</f>
        <v>1.113631306157008</v>
      </c>
      <c r="G26" s="1"/>
      <c r="H26" s="1">
        <f t="shared" si="6"/>
        <v>1.7009244313240515</v>
      </c>
      <c r="I26" s="1">
        <f t="shared" si="3"/>
        <v>1.2837165519426803</v>
      </c>
      <c r="J26" s="1"/>
      <c r="K26" s="1">
        <f aca="true" t="shared" si="7" ref="K26:K43">F26/I26</f>
        <v>0.8675056066479176</v>
      </c>
      <c r="L26" s="9"/>
      <c r="M26" s="9"/>
      <c r="N26" s="11"/>
      <c r="O26" s="9"/>
      <c r="P26" s="1"/>
      <c r="T26" s="27"/>
      <c r="U26" s="9"/>
    </row>
    <row r="27" spans="1:21" ht="12.75">
      <c r="A27">
        <f t="shared" si="1"/>
        <v>2014</v>
      </c>
      <c r="C27" s="1"/>
      <c r="D27" s="1">
        <f>D26*(1.031)</f>
        <v>1.5213038865584345</v>
      </c>
      <c r="E27" s="1"/>
      <c r="F27" s="1">
        <f aca="true" t="shared" si="8" ref="F27:F43">D27/1.325</f>
        <v>1.1481538766478752</v>
      </c>
      <c r="G27" s="1"/>
      <c r="H27" s="1">
        <f t="shared" si="6"/>
        <v>1.7400456932445045</v>
      </c>
      <c r="I27" s="1">
        <f t="shared" si="3"/>
        <v>1.313242032637362</v>
      </c>
      <c r="K27" s="1">
        <f t="shared" si="7"/>
        <v>0.8742896192121242</v>
      </c>
      <c r="L27" s="9"/>
      <c r="M27" s="9"/>
      <c r="N27" s="11"/>
      <c r="O27" s="9"/>
      <c r="P27" s="1"/>
      <c r="T27" s="27"/>
      <c r="U27" s="9"/>
    </row>
    <row r="28" spans="1:21" ht="12.75">
      <c r="A28">
        <f t="shared" si="1"/>
        <v>2015</v>
      </c>
      <c r="C28" s="1"/>
      <c r="D28" s="1">
        <f aca="true" t="shared" si="9" ref="D28:D43">D27*(1.031)</f>
        <v>1.5684643070417459</v>
      </c>
      <c r="E28" s="1"/>
      <c r="F28" s="1">
        <f t="shared" si="8"/>
        <v>1.1837466468239592</v>
      </c>
      <c r="G28" s="1"/>
      <c r="H28" s="1">
        <f t="shared" si="6"/>
        <v>1.780066744189128</v>
      </c>
      <c r="I28" s="1">
        <f t="shared" si="3"/>
        <v>1.3434465993880211</v>
      </c>
      <c r="K28" s="1">
        <f t="shared" si="7"/>
        <v>0.8811266836829913</v>
      </c>
      <c r="L28" s="9"/>
      <c r="M28" s="9"/>
      <c r="N28" s="11"/>
      <c r="O28" s="9"/>
      <c r="P28" s="1"/>
      <c r="T28" s="27"/>
      <c r="U28" s="9"/>
    </row>
    <row r="29" spans="1:21" ht="12.75">
      <c r="A29">
        <f t="shared" si="1"/>
        <v>2016</v>
      </c>
      <c r="C29" s="1"/>
      <c r="D29" s="1">
        <f t="shared" si="9"/>
        <v>1.6170867005600398</v>
      </c>
      <c r="E29" s="1"/>
      <c r="F29" s="1">
        <f t="shared" si="8"/>
        <v>1.2204427928755017</v>
      </c>
      <c r="G29" s="1"/>
      <c r="H29" s="1">
        <f t="shared" si="6"/>
        <v>1.8210082793054778</v>
      </c>
      <c r="I29" s="1">
        <f t="shared" si="3"/>
        <v>1.3743458711739456</v>
      </c>
      <c r="K29" s="1">
        <f t="shared" si="7"/>
        <v>0.888017214933689</v>
      </c>
      <c r="L29" s="9"/>
      <c r="M29" s="9"/>
      <c r="N29" s="11"/>
      <c r="O29" s="9"/>
      <c r="P29" s="1"/>
      <c r="T29" s="27"/>
      <c r="U29" s="9"/>
    </row>
    <row r="30" spans="1:21" ht="12.75">
      <c r="A30">
        <f t="shared" si="1"/>
        <v>2017</v>
      </c>
      <c r="C30" s="1"/>
      <c r="D30" s="1">
        <f t="shared" si="9"/>
        <v>1.667216388277401</v>
      </c>
      <c r="E30" s="1"/>
      <c r="F30" s="1">
        <f t="shared" si="8"/>
        <v>1.2582765194546424</v>
      </c>
      <c r="G30" s="1"/>
      <c r="H30" s="1">
        <f t="shared" si="6"/>
        <v>1.8628914697295036</v>
      </c>
      <c r="I30" s="1">
        <f t="shared" si="3"/>
        <v>1.4059558262109462</v>
      </c>
      <c r="K30" s="1">
        <f t="shared" si="7"/>
        <v>0.8949616310817532</v>
      </c>
      <c r="L30" s="9"/>
      <c r="M30" s="9"/>
      <c r="N30" s="11"/>
      <c r="O30" s="9"/>
      <c r="P30" s="1"/>
      <c r="T30" s="27"/>
      <c r="U30" s="9"/>
    </row>
    <row r="31" spans="1:21" ht="12.75">
      <c r="A31">
        <f t="shared" si="1"/>
        <v>2018</v>
      </c>
      <c r="C31" s="1"/>
      <c r="D31" s="1">
        <f t="shared" si="9"/>
        <v>1.7189000963140002</v>
      </c>
      <c r="E31" s="1"/>
      <c r="F31" s="1">
        <f t="shared" si="8"/>
        <v>1.297283091557736</v>
      </c>
      <c r="G31" s="1"/>
      <c r="H31" s="1">
        <f t="shared" si="6"/>
        <v>1.905737973533282</v>
      </c>
      <c r="I31" s="1">
        <f t="shared" si="3"/>
        <v>1.4382928102137977</v>
      </c>
      <c r="K31" s="1">
        <f t="shared" si="7"/>
        <v>0.901960353514455</v>
      </c>
      <c r="L31" s="9"/>
      <c r="M31" s="9"/>
      <c r="N31" s="11"/>
      <c r="O31" s="9"/>
      <c r="P31" s="1"/>
      <c r="T31" s="27"/>
      <c r="U31" s="9"/>
    </row>
    <row r="32" spans="1:11" ht="12.75">
      <c r="A32">
        <f t="shared" si="1"/>
        <v>2019</v>
      </c>
      <c r="C32" s="1"/>
      <c r="D32" s="1">
        <f t="shared" si="9"/>
        <v>1.772185999299734</v>
      </c>
      <c r="E32" s="1"/>
      <c r="F32" s="1">
        <f t="shared" si="8"/>
        <v>1.3374988673960257</v>
      </c>
      <c r="G32" s="1"/>
      <c r="H32" s="1">
        <f t="shared" si="6"/>
        <v>1.9495699469245473</v>
      </c>
      <c r="I32" s="1">
        <f t="shared" si="3"/>
        <v>1.471373544848715</v>
      </c>
      <c r="K32" s="1">
        <f t="shared" si="7"/>
        <v>0.9090138069143725</v>
      </c>
    </row>
    <row r="33" spans="1:11" ht="12.75">
      <c r="A33">
        <f t="shared" si="1"/>
        <v>2020</v>
      </c>
      <c r="C33" s="1"/>
      <c r="D33" s="1">
        <f t="shared" si="9"/>
        <v>1.8271237652780257</v>
      </c>
      <c r="E33" s="1"/>
      <c r="F33" s="1">
        <f t="shared" si="8"/>
        <v>1.3789613322853025</v>
      </c>
      <c r="G33" s="1"/>
      <c r="H33" s="1">
        <f t="shared" si="6"/>
        <v>1.9944100557038118</v>
      </c>
      <c r="I33" s="1">
        <f t="shared" si="3"/>
        <v>1.5052151363802353</v>
      </c>
      <c r="K33" s="1">
        <f t="shared" si="7"/>
        <v>0.9161224192851595</v>
      </c>
    </row>
    <row r="34" spans="1:11" ht="12.75">
      <c r="A34">
        <f t="shared" si="1"/>
        <v>2021</v>
      </c>
      <c r="C34" s="1"/>
      <c r="D34" s="1">
        <f t="shared" si="9"/>
        <v>1.8837646020016443</v>
      </c>
      <c r="E34" s="1"/>
      <c r="F34" s="1">
        <f t="shared" si="8"/>
        <v>1.4217091335861467</v>
      </c>
      <c r="G34" s="1"/>
      <c r="H34" s="1">
        <f t="shared" si="6"/>
        <v>2.0402814869849992</v>
      </c>
      <c r="I34" s="1">
        <f t="shared" si="3"/>
        <v>1.5398350845169806</v>
      </c>
      <c r="K34" s="1">
        <f t="shared" si="7"/>
        <v>0.9232866219775165</v>
      </c>
    </row>
    <row r="35" spans="1:11" ht="12.75">
      <c r="A35">
        <f t="shared" si="1"/>
        <v>2022</v>
      </c>
      <c r="C35" s="1"/>
      <c r="D35" s="1">
        <f t="shared" si="9"/>
        <v>1.9421613046636952</v>
      </c>
      <c r="E35" s="1"/>
      <c r="F35" s="1">
        <f t="shared" si="8"/>
        <v>1.465782116727317</v>
      </c>
      <c r="G35" s="1"/>
      <c r="H35" s="1">
        <f t="shared" si="6"/>
        <v>2.087207961185654</v>
      </c>
      <c r="I35" s="1">
        <f t="shared" si="3"/>
        <v>1.575251291460871</v>
      </c>
      <c r="K35" s="1">
        <f t="shared" si="7"/>
        <v>0.9305068497153661</v>
      </c>
    </row>
    <row r="36" spans="1:11" ht="12.75">
      <c r="A36">
        <f t="shared" si="1"/>
        <v>2023</v>
      </c>
      <c r="C36" s="1"/>
      <c r="D36" s="1">
        <f t="shared" si="9"/>
        <v>2.0023683051082695</v>
      </c>
      <c r="E36" s="1"/>
      <c r="F36" s="1">
        <f t="shared" si="8"/>
        <v>1.511221362345864</v>
      </c>
      <c r="G36" s="1"/>
      <c r="H36" s="1">
        <f t="shared" si="6"/>
        <v>2.135213744292924</v>
      </c>
      <c r="I36" s="1">
        <f t="shared" si="3"/>
        <v>1.611482071164471</v>
      </c>
      <c r="K36" s="1">
        <f t="shared" si="7"/>
        <v>0.9377835406222311</v>
      </c>
    </row>
    <row r="37" spans="1:21" ht="12.75">
      <c r="A37">
        <f t="shared" si="1"/>
        <v>2024</v>
      </c>
      <c r="C37" s="1"/>
      <c r="D37" s="1">
        <f t="shared" si="9"/>
        <v>2.0644417225666256</v>
      </c>
      <c r="E37" s="1"/>
      <c r="F37" s="1">
        <f t="shared" si="8"/>
        <v>1.5580692245785854</v>
      </c>
      <c r="G37" s="1"/>
      <c r="H37" s="1">
        <f t="shared" si="6"/>
        <v>2.184323660411661</v>
      </c>
      <c r="I37" s="1">
        <f t="shared" si="3"/>
        <v>1.6485461588012535</v>
      </c>
      <c r="K37" s="1">
        <f t="shared" si="7"/>
        <v>0.9451171362478205</v>
      </c>
      <c r="L37" s="9"/>
      <c r="M37" s="9"/>
      <c r="O37" s="9"/>
      <c r="P37" s="9"/>
      <c r="T37" s="27"/>
      <c r="U37" s="9"/>
    </row>
    <row r="38" spans="1:21" ht="12.75">
      <c r="A38">
        <f t="shared" si="1"/>
        <v>2025</v>
      </c>
      <c r="C38" s="1"/>
      <c r="D38" s="1">
        <f t="shared" si="9"/>
        <v>2.128439415966191</v>
      </c>
      <c r="E38" s="1"/>
      <c r="F38" s="1">
        <f t="shared" si="8"/>
        <v>1.6063693705405215</v>
      </c>
      <c r="G38" s="1"/>
      <c r="H38" s="1">
        <f t="shared" si="6"/>
        <v>2.2345631046011287</v>
      </c>
      <c r="I38" s="1">
        <f t="shared" si="3"/>
        <v>1.6864627204536822</v>
      </c>
      <c r="K38" s="207">
        <f t="shared" si="7"/>
        <v>0.9525080815948221</v>
      </c>
      <c r="L38" s="9"/>
      <c r="M38" s="9"/>
      <c r="O38" s="9"/>
      <c r="P38" s="1"/>
      <c r="T38" s="27"/>
      <c r="U38" s="9"/>
    </row>
    <row r="39" spans="1:21" ht="12.75">
      <c r="A39">
        <f t="shared" si="1"/>
        <v>2026</v>
      </c>
      <c r="D39" s="1">
        <f t="shared" si="9"/>
        <v>2.194421037861143</v>
      </c>
      <c r="F39" s="1">
        <f t="shared" si="8"/>
        <v>1.6561668210272777</v>
      </c>
      <c r="G39" s="9"/>
      <c r="H39" s="1">
        <f t="shared" si="6"/>
        <v>2.2859580560069546</v>
      </c>
      <c r="I39" s="1">
        <f t="shared" si="3"/>
        <v>1.7252513630241166</v>
      </c>
      <c r="J39" s="9"/>
      <c r="K39" s="1">
        <f t="shared" si="7"/>
        <v>0.9599568251459059</v>
      </c>
      <c r="L39" s="9"/>
      <c r="M39" s="9"/>
      <c r="N39" s="11"/>
      <c r="O39" s="9"/>
      <c r="P39" s="1"/>
      <c r="T39" s="27"/>
      <c r="U39" s="9"/>
    </row>
    <row r="40" spans="1:21" ht="12.75">
      <c r="A40">
        <f t="shared" si="1"/>
        <v>2027</v>
      </c>
      <c r="D40" s="1">
        <f t="shared" si="9"/>
        <v>2.2624480900348383</v>
      </c>
      <c r="F40" s="1">
        <f t="shared" si="8"/>
        <v>1.7075079924791232</v>
      </c>
      <c r="G40" s="9"/>
      <c r="H40" s="1">
        <f t="shared" si="6"/>
        <v>2.3385350912951144</v>
      </c>
      <c r="I40" s="1">
        <f t="shared" si="3"/>
        <v>1.7649321443736712</v>
      </c>
      <c r="J40" s="9"/>
      <c r="K40" s="1">
        <f t="shared" si="7"/>
        <v>0.9674638188909374</v>
      </c>
      <c r="L40" s="9"/>
      <c r="M40" s="9"/>
      <c r="N40" s="11"/>
      <c r="O40" s="9"/>
      <c r="P40" s="1"/>
      <c r="T40" s="27"/>
      <c r="U40" s="9"/>
    </row>
    <row r="41" spans="1:21" ht="12.75">
      <c r="A41">
        <f t="shared" si="1"/>
        <v>2028</v>
      </c>
      <c r="D41" s="1">
        <f t="shared" si="9"/>
        <v>2.332583980825918</v>
      </c>
      <c r="F41" s="1">
        <f t="shared" si="8"/>
        <v>1.7604407402459759</v>
      </c>
      <c r="G41" s="9"/>
      <c r="H41" s="1">
        <f t="shared" si="6"/>
        <v>2.392321398394902</v>
      </c>
      <c r="I41" s="1">
        <f t="shared" si="3"/>
        <v>1.8055255836942656</v>
      </c>
      <c r="J41" s="9"/>
      <c r="K41" s="1">
        <f t="shared" si="7"/>
        <v>0.975029518354405</v>
      </c>
      <c r="L41" s="9"/>
      <c r="M41" s="9"/>
      <c r="N41" s="11"/>
      <c r="O41" s="9"/>
      <c r="P41" s="1"/>
      <c r="T41" s="27"/>
      <c r="U41" s="9"/>
    </row>
    <row r="42" spans="1:21" ht="12.75">
      <c r="A42">
        <f t="shared" si="1"/>
        <v>2029</v>
      </c>
      <c r="D42" s="1">
        <f t="shared" si="9"/>
        <v>2.404894084231521</v>
      </c>
      <c r="F42" s="1">
        <f t="shared" si="8"/>
        <v>1.8150144031936009</v>
      </c>
      <c r="G42" s="9"/>
      <c r="H42" s="1">
        <f t="shared" si="6"/>
        <v>2.4473447905579846</v>
      </c>
      <c r="I42" s="1">
        <f t="shared" si="3"/>
        <v>1.8470526721192337</v>
      </c>
      <c r="J42" s="9"/>
      <c r="K42" s="1">
        <f t="shared" si="7"/>
        <v>0.982654382623061</v>
      </c>
      <c r="L42" s="9"/>
      <c r="M42" s="9"/>
      <c r="N42" s="11"/>
      <c r="O42" s="9"/>
      <c r="P42" s="1"/>
      <c r="T42" s="27"/>
      <c r="U42" s="9"/>
    </row>
    <row r="43" spans="1:21" ht="12.75">
      <c r="A43">
        <f t="shared" si="1"/>
        <v>2030</v>
      </c>
      <c r="D43" s="1">
        <f t="shared" si="9"/>
        <v>2.479445800842698</v>
      </c>
      <c r="F43" s="1">
        <f t="shared" si="8"/>
        <v>1.8712798496926024</v>
      </c>
      <c r="G43" s="9"/>
      <c r="H43" s="1">
        <f t="shared" si="6"/>
        <v>2.503633720740818</v>
      </c>
      <c r="I43" s="1">
        <f t="shared" si="3"/>
        <v>1.889534883577976</v>
      </c>
      <c r="J43" s="9"/>
      <c r="K43" s="1">
        <f t="shared" si="7"/>
        <v>0.9903388743737791</v>
      </c>
      <c r="L43" s="9"/>
      <c r="M43" s="9"/>
      <c r="N43" s="11"/>
      <c r="O43" s="9"/>
      <c r="P43" s="1"/>
      <c r="T43" s="27"/>
      <c r="U43" s="9"/>
    </row>
    <row r="44" spans="1:21" ht="12.75">
      <c r="A44">
        <f>A43+1</f>
        <v>2031</v>
      </c>
      <c r="D44" s="1">
        <f>D43*(1.031)</f>
        <v>2.5563086206688217</v>
      </c>
      <c r="F44" s="1">
        <f>D44/1.325</f>
        <v>1.929289525033073</v>
      </c>
      <c r="G44" s="9"/>
      <c r="H44" s="1">
        <f>H43*(1.023)</f>
        <v>2.5612172963178566</v>
      </c>
      <c r="I44" s="1">
        <f t="shared" si="3"/>
        <v>1.932994185900269</v>
      </c>
      <c r="J44" s="9"/>
      <c r="K44" s="1">
        <f>F44/I44</f>
        <v>0.9980834599016289</v>
      </c>
      <c r="L44" s="9"/>
      <c r="M44" s="9"/>
      <c r="N44" s="11"/>
      <c r="O44" s="9"/>
      <c r="P44" s="1"/>
      <c r="T44" s="27"/>
      <c r="U44" s="9"/>
    </row>
    <row r="45" spans="1:21" ht="12.75">
      <c r="A45">
        <f>A44+1</f>
        <v>2032</v>
      </c>
      <c r="D45" s="1">
        <f>D44*(1.031)</f>
        <v>2.635554187909555</v>
      </c>
      <c r="F45" s="1">
        <f>D45/1.325</f>
        <v>1.9890975003090983</v>
      </c>
      <c r="G45" s="9"/>
      <c r="H45" s="1">
        <f>H44*(1.023)</f>
        <v>2.620125294133167</v>
      </c>
      <c r="I45" s="1">
        <f t="shared" si="3"/>
        <v>1.9774530521759752</v>
      </c>
      <c r="J45" s="9"/>
      <c r="K45" s="1">
        <f>F45/I45</f>
        <v>1.0058886091481716</v>
      </c>
      <c r="L45" s="9"/>
      <c r="M45" s="9"/>
      <c r="N45" s="11"/>
      <c r="O45" s="9"/>
      <c r="P45" s="1"/>
      <c r="T45" s="27"/>
      <c r="U45" s="9"/>
    </row>
    <row r="46" spans="6:21" ht="12.75">
      <c r="F46" s="9"/>
      <c r="G46" s="9"/>
      <c r="H46" s="9"/>
      <c r="I46" s="9"/>
      <c r="J46" s="9"/>
      <c r="K46" s="9"/>
      <c r="L46" s="9"/>
      <c r="M46" s="9"/>
      <c r="N46" s="11"/>
      <c r="O46" s="9"/>
      <c r="P46" s="1"/>
      <c r="T46" s="27"/>
      <c r="U46" s="9"/>
    </row>
    <row r="47" spans="6:21" ht="12.75">
      <c r="F47" s="9"/>
      <c r="G47" s="9"/>
      <c r="H47" s="9"/>
      <c r="I47" s="9"/>
      <c r="J47" s="9"/>
      <c r="K47" s="9"/>
      <c r="L47" s="9"/>
      <c r="M47" s="9"/>
      <c r="N47" s="11"/>
      <c r="O47" s="9"/>
      <c r="P47" s="1"/>
      <c r="T47" s="27"/>
      <c r="U47" s="9"/>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29"/>
  <sheetViews>
    <sheetView workbookViewId="0" topLeftCell="A1">
      <selection activeCell="A30" sqref="A30"/>
    </sheetView>
  </sheetViews>
  <sheetFormatPr defaultColWidth="9.140625" defaultRowHeight="12.75"/>
  <sheetData>
    <row r="1" ht="12.75">
      <c r="A1" t="s">
        <v>4</v>
      </c>
    </row>
    <row r="3" spans="1:7" ht="12.75">
      <c r="A3" t="s">
        <v>1</v>
      </c>
      <c r="C3" t="s">
        <v>5</v>
      </c>
      <c r="D3" t="s">
        <v>6</v>
      </c>
      <c r="F3" t="s">
        <v>7</v>
      </c>
      <c r="G3" t="s">
        <v>8</v>
      </c>
    </row>
    <row r="5" spans="1:7" ht="12.75">
      <c r="A5">
        <v>1980</v>
      </c>
      <c r="C5" s="4">
        <v>12227</v>
      </c>
      <c r="F5" s="2">
        <f>C5/1000</f>
        <v>12.227</v>
      </c>
      <c r="G5" s="2"/>
    </row>
    <row r="6" spans="1:7" ht="12.75">
      <c r="A6">
        <f aca="true" t="shared" si="0" ref="A6:A27">A5+1</f>
        <v>1981</v>
      </c>
      <c r="C6" s="4">
        <v>13350</v>
      </c>
      <c r="F6" s="2">
        <f aca="true" t="shared" si="1" ref="F6:F27">C6/1000</f>
        <v>13.35</v>
      </c>
      <c r="G6" s="2"/>
    </row>
    <row r="7" spans="1:7" ht="12.75">
      <c r="A7">
        <f t="shared" si="0"/>
        <v>1982</v>
      </c>
      <c r="C7" s="4">
        <v>16043</v>
      </c>
      <c r="F7" s="2">
        <f t="shared" si="1"/>
        <v>16.043</v>
      </c>
      <c r="G7" s="2"/>
    </row>
    <row r="8" spans="1:7" ht="12.75">
      <c r="A8">
        <f t="shared" si="0"/>
        <v>1983</v>
      </c>
      <c r="C8" s="4">
        <v>16858</v>
      </c>
      <c r="F8" s="2">
        <f t="shared" si="1"/>
        <v>16.858</v>
      </c>
      <c r="G8" s="2"/>
    </row>
    <row r="9" spans="1:7" ht="12.75">
      <c r="A9">
        <f t="shared" si="0"/>
        <v>1984</v>
      </c>
      <c r="C9" s="4">
        <v>15394</v>
      </c>
      <c r="F9" s="2">
        <f t="shared" si="1"/>
        <v>15.394</v>
      </c>
      <c r="G9" s="2"/>
    </row>
    <row r="10" spans="1:7" ht="12.75">
      <c r="A10">
        <f t="shared" si="0"/>
        <v>1985</v>
      </c>
      <c r="C10" s="4">
        <v>15297</v>
      </c>
      <c r="F10" s="2">
        <f t="shared" si="1"/>
        <v>15.297</v>
      </c>
      <c r="G10" s="2"/>
    </row>
    <row r="11" spans="1:7" ht="12.75">
      <c r="A11">
        <f t="shared" si="0"/>
        <v>1986</v>
      </c>
      <c r="C11" s="4">
        <v>13964</v>
      </c>
      <c r="F11" s="2">
        <f t="shared" si="1"/>
        <v>13.964</v>
      </c>
      <c r="G11" s="2"/>
    </row>
    <row r="12" spans="1:7" ht="12.75">
      <c r="A12">
        <f t="shared" si="0"/>
        <v>1987</v>
      </c>
      <c r="C12" s="4">
        <v>17826</v>
      </c>
      <c r="F12" s="2">
        <f t="shared" si="1"/>
        <v>17.826</v>
      </c>
      <c r="G12" s="2"/>
    </row>
    <row r="13" spans="1:7" ht="12.75">
      <c r="A13">
        <f t="shared" si="0"/>
        <v>1988</v>
      </c>
      <c r="C13" s="4">
        <v>25371</v>
      </c>
      <c r="F13" s="2">
        <f t="shared" si="1"/>
        <v>25.371</v>
      </c>
      <c r="G13" s="2"/>
    </row>
    <row r="14" spans="1:7" ht="12.75">
      <c r="A14">
        <f t="shared" si="0"/>
        <v>1989</v>
      </c>
      <c r="C14" s="4">
        <v>33796</v>
      </c>
      <c r="F14" s="2">
        <f t="shared" si="1"/>
        <v>33.796</v>
      </c>
      <c r="G14" s="2"/>
    </row>
    <row r="15" spans="1:7" ht="12.75">
      <c r="A15">
        <f t="shared" si="0"/>
        <v>1990</v>
      </c>
      <c r="C15" s="4">
        <v>55441</v>
      </c>
      <c r="F15" s="2">
        <f t="shared" si="1"/>
        <v>55.441</v>
      </c>
      <c r="G15" s="2"/>
    </row>
    <row r="16" spans="1:7" ht="12.75">
      <c r="A16">
        <f t="shared" si="0"/>
        <v>1991</v>
      </c>
      <c r="C16" s="4">
        <v>91161</v>
      </c>
      <c r="F16" s="2">
        <f t="shared" si="1"/>
        <v>91.161</v>
      </c>
      <c r="G16" s="2"/>
    </row>
    <row r="17" spans="1:7" ht="12.75">
      <c r="A17">
        <f t="shared" si="0"/>
        <v>1992</v>
      </c>
      <c r="C17" s="4">
        <v>118224</v>
      </c>
      <c r="D17">
        <v>80000</v>
      </c>
      <c r="F17" s="2">
        <f t="shared" si="1"/>
        <v>118.224</v>
      </c>
      <c r="G17" s="2">
        <f aca="true" t="shared" si="2" ref="G17:G27">D17/1000</f>
        <v>80</v>
      </c>
    </row>
    <row r="18" spans="1:7" ht="12.75">
      <c r="A18">
        <f t="shared" si="0"/>
        <v>1993</v>
      </c>
      <c r="C18" s="4">
        <v>137142</v>
      </c>
      <c r="D18">
        <v>85000</v>
      </c>
      <c r="F18" s="2">
        <f t="shared" si="1"/>
        <v>137.142</v>
      </c>
      <c r="G18" s="2">
        <f t="shared" si="2"/>
        <v>85</v>
      </c>
    </row>
    <row r="19" spans="1:7" ht="12.75">
      <c r="A19">
        <f t="shared" si="0"/>
        <v>1994</v>
      </c>
      <c r="C19" s="4">
        <v>123517</v>
      </c>
      <c r="D19">
        <v>85000</v>
      </c>
      <c r="F19" s="2">
        <f t="shared" si="1"/>
        <v>123.517</v>
      </c>
      <c r="G19" s="2">
        <f t="shared" si="2"/>
        <v>85</v>
      </c>
    </row>
    <row r="20" spans="1:7" ht="12.75">
      <c r="A20">
        <f t="shared" si="0"/>
        <v>1995</v>
      </c>
      <c r="C20" s="4">
        <v>126759</v>
      </c>
      <c r="D20">
        <v>70000</v>
      </c>
      <c r="F20" s="2">
        <f t="shared" si="1"/>
        <v>126.759</v>
      </c>
      <c r="G20" s="2">
        <f t="shared" si="2"/>
        <v>70</v>
      </c>
    </row>
    <row r="21" spans="1:7" ht="12.75">
      <c r="A21">
        <f t="shared" si="0"/>
        <v>1996</v>
      </c>
      <c r="C21" s="4">
        <v>124470</v>
      </c>
      <c r="D21">
        <v>69000</v>
      </c>
      <c r="F21" s="2">
        <f t="shared" si="1"/>
        <v>124.47</v>
      </c>
      <c r="G21" s="2">
        <f t="shared" si="2"/>
        <v>69</v>
      </c>
    </row>
    <row r="22" spans="1:7" ht="12.75">
      <c r="A22">
        <f t="shared" si="0"/>
        <v>1997</v>
      </c>
      <c r="C22" s="4">
        <v>128572</v>
      </c>
      <c r="D22">
        <v>72000</v>
      </c>
      <c r="F22" s="2">
        <f t="shared" si="1"/>
        <v>128.572</v>
      </c>
      <c r="G22" s="2">
        <f t="shared" si="2"/>
        <v>72</v>
      </c>
    </row>
    <row r="23" spans="1:7" ht="12.75">
      <c r="A23">
        <f t="shared" si="0"/>
        <v>1998</v>
      </c>
      <c r="C23" s="4">
        <v>126625</v>
      </c>
      <c r="D23">
        <v>77000</v>
      </c>
      <c r="F23" s="2">
        <f t="shared" si="1"/>
        <v>126.625</v>
      </c>
      <c r="G23" s="2">
        <f t="shared" si="2"/>
        <v>77</v>
      </c>
    </row>
    <row r="24" spans="1:7" ht="12.75">
      <c r="A24">
        <f t="shared" si="0"/>
        <v>1999</v>
      </c>
      <c r="C24" s="5">
        <v>114348</v>
      </c>
      <c r="D24">
        <v>73000</v>
      </c>
      <c r="F24" s="2">
        <f t="shared" si="1"/>
        <v>114.348</v>
      </c>
      <c r="G24" s="2">
        <f t="shared" si="2"/>
        <v>73</v>
      </c>
    </row>
    <row r="25" spans="1:7" ht="12.75">
      <c r="A25">
        <f t="shared" si="0"/>
        <v>2000</v>
      </c>
      <c r="C25" s="4">
        <v>104583</v>
      </c>
      <c r="D25">
        <v>68000</v>
      </c>
      <c r="F25" s="2">
        <f t="shared" si="1"/>
        <v>104.583</v>
      </c>
      <c r="G25" s="2">
        <f t="shared" si="2"/>
        <v>68</v>
      </c>
    </row>
    <row r="26" spans="1:7" ht="12.75">
      <c r="A26">
        <f t="shared" si="0"/>
        <v>2001</v>
      </c>
      <c r="C26" s="4">
        <v>104316</v>
      </c>
      <c r="D26">
        <v>63000</v>
      </c>
      <c r="F26" s="2">
        <f t="shared" si="1"/>
        <v>104.316</v>
      </c>
      <c r="G26" s="2">
        <f t="shared" si="2"/>
        <v>63</v>
      </c>
    </row>
    <row r="27" spans="1:7" ht="12.75">
      <c r="A27">
        <f t="shared" si="0"/>
        <v>2002</v>
      </c>
      <c r="C27" s="4">
        <v>99607</v>
      </c>
      <c r="D27">
        <v>62000</v>
      </c>
      <c r="F27" s="2">
        <f t="shared" si="1"/>
        <v>99.607</v>
      </c>
      <c r="G27" s="2">
        <f t="shared" si="2"/>
        <v>62</v>
      </c>
    </row>
    <row r="28" ht="12.75">
      <c r="C28" s="3"/>
    </row>
    <row r="29" ht="12.75">
      <c r="A29" t="s">
        <v>208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9.140625" defaultRowHeight="12.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O39"/>
  <sheetViews>
    <sheetView workbookViewId="0" topLeftCell="A1">
      <selection activeCell="A26" sqref="A26"/>
    </sheetView>
  </sheetViews>
  <sheetFormatPr defaultColWidth="9.140625" defaultRowHeight="12.75"/>
  <cols>
    <col min="9" max="9" width="11.57421875" style="0" customWidth="1"/>
    <col min="10" max="10" width="11.140625" style="0" customWidth="1"/>
    <col min="11" max="11" width="12.57421875" style="0" customWidth="1"/>
    <col min="12" max="12" width="25.57421875" style="0" customWidth="1"/>
  </cols>
  <sheetData>
    <row r="1" spans="1:13" ht="12.75">
      <c r="A1" t="s">
        <v>200</v>
      </c>
      <c r="M1" t="s">
        <v>206</v>
      </c>
    </row>
    <row r="3" spans="1:15" ht="12.75">
      <c r="A3" t="s">
        <v>16</v>
      </c>
      <c r="C3">
        <v>1970</v>
      </c>
      <c r="D3">
        <v>1980</v>
      </c>
      <c r="E3">
        <v>1990</v>
      </c>
      <c r="F3">
        <v>1993</v>
      </c>
      <c r="G3">
        <v>1998</v>
      </c>
      <c r="H3">
        <v>2002</v>
      </c>
      <c r="I3" t="s">
        <v>201</v>
      </c>
      <c r="J3" t="s">
        <v>205</v>
      </c>
      <c r="K3" t="s">
        <v>202</v>
      </c>
      <c r="L3" t="s">
        <v>204</v>
      </c>
      <c r="M3">
        <v>1993</v>
      </c>
      <c r="N3">
        <v>2002</v>
      </c>
      <c r="O3" t="s">
        <v>207</v>
      </c>
    </row>
    <row r="5" spans="1:15" ht="12.75">
      <c r="A5" t="s">
        <v>126</v>
      </c>
      <c r="E5">
        <v>11</v>
      </c>
      <c r="F5">
        <f>C30</f>
        <v>11.018682091716697</v>
      </c>
      <c r="G5">
        <f>C35</f>
        <v>11.223232282862782</v>
      </c>
      <c r="H5">
        <f>C39</f>
        <v>11.575058748158742</v>
      </c>
      <c r="I5" s="1">
        <f>(G5-E5)/8</f>
        <v>0.02790403535784769</v>
      </c>
      <c r="J5" s="1">
        <f>(H5-F5)/9</f>
        <v>0.061819628493560645</v>
      </c>
      <c r="K5" s="1">
        <f>EXP(1/8*LN(G5/E5))-1</f>
        <v>0.002514489546900922</v>
      </c>
      <c r="L5" s="27">
        <f>EXP(1/9*LN(H5/F5))-1</f>
        <v>0.005488392033078826</v>
      </c>
      <c r="M5" s="1">
        <f>EXP(0.134*4+0.101*4+(F5-8)*0.068)</f>
        <v>3.143291132038921</v>
      </c>
      <c r="N5" s="1">
        <f>EXP(0.134*4+0.101*4+(H5-8)*0.068)</f>
        <v>3.2644914575663067</v>
      </c>
      <c r="O5" s="1">
        <f>EXP(1/9*LN(N5/M5))-1</f>
        <v>0.004212582824426159</v>
      </c>
    </row>
    <row r="7" spans="1:11" ht="12.75">
      <c r="A7" t="s">
        <v>128</v>
      </c>
      <c r="C7">
        <v>9.72</v>
      </c>
      <c r="D7">
        <v>10.42</v>
      </c>
      <c r="E7">
        <v>11.27</v>
      </c>
      <c r="G7">
        <v>11.77</v>
      </c>
      <c r="I7" s="1">
        <f>(G7-E7)/8</f>
        <v>0.0625</v>
      </c>
      <c r="J7" s="1"/>
      <c r="K7" s="1">
        <f>EXP(1/8*LN(G7/E7))-1</f>
        <v>0.0054409476351853225</v>
      </c>
    </row>
    <row r="8" spans="1:11" ht="12.75">
      <c r="A8" t="s">
        <v>129</v>
      </c>
      <c r="C8">
        <v>8.16</v>
      </c>
      <c r="D8">
        <v>9.26</v>
      </c>
      <c r="E8">
        <v>9.78</v>
      </c>
      <c r="G8">
        <v>10.79</v>
      </c>
      <c r="I8" s="1">
        <f aca="true" t="shared" si="0" ref="I8:I20">(G8-E8)/8</f>
        <v>0.12624999999999997</v>
      </c>
      <c r="J8" s="1"/>
      <c r="K8" s="1">
        <f aca="true" t="shared" si="1" ref="K8:K20">EXP(1/8*LN(G8/E8))-1</f>
        <v>0.01236080793415928</v>
      </c>
    </row>
    <row r="9" spans="1:11" ht="12.75">
      <c r="A9" t="s">
        <v>130</v>
      </c>
      <c r="C9">
        <v>9.85</v>
      </c>
      <c r="D9">
        <v>10.6</v>
      </c>
      <c r="E9">
        <v>11.04</v>
      </c>
      <c r="G9">
        <v>11.43</v>
      </c>
      <c r="I9" s="1">
        <f t="shared" si="0"/>
        <v>0.04875000000000007</v>
      </c>
      <c r="J9" s="1"/>
      <c r="K9" s="1">
        <f t="shared" si="1"/>
        <v>0.004348984121882449</v>
      </c>
    </row>
    <row r="10" spans="1:11" ht="12.75">
      <c r="A10" t="s">
        <v>131</v>
      </c>
      <c r="C10">
        <v>8.63</v>
      </c>
      <c r="D10">
        <v>9.6</v>
      </c>
      <c r="E10">
        <v>10.4</v>
      </c>
      <c r="G10">
        <v>11.21</v>
      </c>
      <c r="I10" s="1">
        <f t="shared" si="0"/>
        <v>0.10125000000000006</v>
      </c>
      <c r="J10" s="1"/>
      <c r="K10" s="1">
        <f t="shared" si="1"/>
        <v>0.009419137338543937</v>
      </c>
    </row>
    <row r="11" spans="1:11" ht="12.75">
      <c r="A11" t="s">
        <v>132</v>
      </c>
      <c r="C11">
        <v>8.75</v>
      </c>
      <c r="D11">
        <v>9.51</v>
      </c>
      <c r="E11">
        <v>9.96</v>
      </c>
      <c r="G11">
        <v>10.6</v>
      </c>
      <c r="I11" s="1">
        <f t="shared" si="0"/>
        <v>0.07999999999999985</v>
      </c>
      <c r="J11" s="1"/>
      <c r="K11" s="1">
        <f t="shared" si="1"/>
        <v>0.007814995093005317</v>
      </c>
    </row>
    <row r="12" spans="1:11" ht="12.75">
      <c r="A12" t="s">
        <v>142</v>
      </c>
      <c r="C12">
        <v>9.47</v>
      </c>
      <c r="D12">
        <v>11.41</v>
      </c>
      <c r="E12">
        <v>12.89</v>
      </c>
      <c r="G12">
        <v>13.55</v>
      </c>
      <c r="I12" s="1">
        <f t="shared" si="0"/>
        <v>0.08250000000000002</v>
      </c>
      <c r="J12" s="1"/>
      <c r="K12" s="1">
        <f t="shared" si="1"/>
        <v>0.006261362182502506</v>
      </c>
    </row>
    <row r="13" spans="1:11" ht="12.75">
      <c r="A13" t="s">
        <v>145</v>
      </c>
      <c r="C13">
        <v>7.4</v>
      </c>
      <c r="D13">
        <v>7.93</v>
      </c>
      <c r="E13">
        <v>8.85</v>
      </c>
      <c r="G13">
        <v>9.86</v>
      </c>
      <c r="I13" s="1">
        <f t="shared" si="0"/>
        <v>0.12624999999999997</v>
      </c>
      <c r="J13" s="1"/>
      <c r="K13" s="1">
        <f t="shared" si="1"/>
        <v>0.013600241920548761</v>
      </c>
    </row>
    <row r="14" spans="1:11" ht="12.75">
      <c r="A14" t="s">
        <v>133</v>
      </c>
      <c r="C14">
        <v>7.84</v>
      </c>
      <c r="D14">
        <v>8.49</v>
      </c>
      <c r="E14">
        <v>9.38</v>
      </c>
      <c r="G14">
        <v>10.26</v>
      </c>
      <c r="I14" s="1">
        <f t="shared" si="0"/>
        <v>0.10999999999999988</v>
      </c>
      <c r="J14" s="1"/>
      <c r="K14" s="1">
        <f t="shared" si="1"/>
        <v>0.011272192327003383</v>
      </c>
    </row>
    <row r="15" spans="1:11" ht="12.75">
      <c r="A15" t="s">
        <v>134</v>
      </c>
      <c r="C15">
        <v>6.64</v>
      </c>
      <c r="D15">
        <v>7.32</v>
      </c>
      <c r="E15">
        <v>8.36</v>
      </c>
      <c r="G15">
        <v>9.79</v>
      </c>
      <c r="I15" s="1">
        <f t="shared" si="0"/>
        <v>0.17874999999999996</v>
      </c>
      <c r="J15" s="1"/>
      <c r="K15" s="1">
        <f t="shared" si="1"/>
        <v>0.019933958550306663</v>
      </c>
    </row>
    <row r="16" spans="1:11" ht="12.75">
      <c r="A16" t="s">
        <v>198</v>
      </c>
      <c r="C16">
        <v>9</v>
      </c>
      <c r="D16">
        <v>10.11</v>
      </c>
      <c r="E16">
        <v>11.21</v>
      </c>
      <c r="G16">
        <v>11.85</v>
      </c>
      <c r="I16" s="1">
        <f t="shared" si="0"/>
        <v>0.07999999999999985</v>
      </c>
      <c r="J16" s="1"/>
      <c r="K16" s="1">
        <f t="shared" si="1"/>
        <v>0.006964342837550985</v>
      </c>
    </row>
    <row r="17" spans="1:11" ht="12.75">
      <c r="A17" t="s">
        <v>137</v>
      </c>
      <c r="C17">
        <v>6.51</v>
      </c>
      <c r="D17">
        <v>6.9</v>
      </c>
      <c r="E17">
        <v>7.23</v>
      </c>
      <c r="G17">
        <v>7.73</v>
      </c>
      <c r="I17" s="1">
        <f t="shared" si="0"/>
        <v>0.0625</v>
      </c>
      <c r="J17" s="1"/>
      <c r="K17" s="1">
        <f t="shared" si="1"/>
        <v>0.008393760011825568</v>
      </c>
    </row>
    <row r="18" spans="1:11" ht="12.75">
      <c r="A18" t="s">
        <v>138</v>
      </c>
      <c r="C18">
        <v>5.71</v>
      </c>
      <c r="D18">
        <v>7.22</v>
      </c>
      <c r="E18">
        <v>7.32</v>
      </c>
      <c r="G18">
        <v>8.65</v>
      </c>
      <c r="I18" s="1">
        <f t="shared" si="0"/>
        <v>0.16625</v>
      </c>
      <c r="J18" s="1"/>
      <c r="K18" s="1">
        <f t="shared" si="1"/>
        <v>0.021087896505735504</v>
      </c>
    </row>
    <row r="19" spans="1:11" ht="12.75">
      <c r="A19" t="s">
        <v>139</v>
      </c>
      <c r="C19">
        <v>9.1</v>
      </c>
      <c r="D19">
        <v>10.1</v>
      </c>
      <c r="E19">
        <v>11.07</v>
      </c>
      <c r="G19">
        <v>11.65</v>
      </c>
      <c r="I19" s="1">
        <f t="shared" si="0"/>
        <v>0.07250000000000001</v>
      </c>
      <c r="J19" s="1"/>
      <c r="K19" s="1">
        <f t="shared" si="1"/>
        <v>0.006403846666770852</v>
      </c>
    </row>
    <row r="20" spans="1:11" ht="12.75">
      <c r="A20" t="s">
        <v>199</v>
      </c>
      <c r="C20">
        <v>9.1</v>
      </c>
      <c r="D20">
        <v>10.1</v>
      </c>
      <c r="E20">
        <v>10.89</v>
      </c>
      <c r="G20">
        <v>11.95</v>
      </c>
      <c r="I20" s="1">
        <f t="shared" si="0"/>
        <v>0.13249999999999984</v>
      </c>
      <c r="J20" s="1"/>
      <c r="K20" s="1">
        <f t="shared" si="1"/>
        <v>0.011678459567546762</v>
      </c>
    </row>
    <row r="22" spans="1:11" ht="12.75">
      <c r="A22" t="s">
        <v>203</v>
      </c>
      <c r="C22" s="10">
        <f>AVERAGE(C7:C20)</f>
        <v>8.277142857142858</v>
      </c>
      <c r="D22" s="10">
        <f>AVERAGE(D7:D20)</f>
        <v>9.212142857142856</v>
      </c>
      <c r="E22" s="10">
        <f>AVERAGE(E7:E20)</f>
        <v>9.974999999999998</v>
      </c>
      <c r="F22" s="10"/>
      <c r="G22" s="10">
        <f>AVERAGE(G7:G20)</f>
        <v>10.792142857142855</v>
      </c>
      <c r="I22" s="1">
        <f>AVERAGE(I7:I20)</f>
        <v>0.1021428571428571</v>
      </c>
      <c r="J22" s="1"/>
      <c r="K22" s="1">
        <f>AVERAGE(K7:K20)</f>
        <v>0.010355780906611949</v>
      </c>
    </row>
    <row r="24" ht="12.75">
      <c r="A24" t="s">
        <v>470</v>
      </c>
    </row>
    <row r="26" ht="12.75">
      <c r="A26" t="s">
        <v>126</v>
      </c>
    </row>
    <row r="28" spans="1:4" ht="12.75">
      <c r="A28" s="22" t="s">
        <v>1</v>
      </c>
      <c r="C28" t="s">
        <v>270</v>
      </c>
      <c r="D28" t="s">
        <v>269</v>
      </c>
    </row>
    <row r="29" ht="12.75">
      <c r="A29" s="13"/>
    </row>
    <row r="30" spans="1:4" ht="12.75">
      <c r="A30" s="13">
        <v>1993</v>
      </c>
      <c r="C30">
        <v>11.018682091716697</v>
      </c>
      <c r="D30" s="1">
        <f>EXP(0.134*4+0.101*4+(C30-8)*0.068)</f>
        <v>3.143291132038921</v>
      </c>
    </row>
    <row r="31" spans="1:4" ht="12.75">
      <c r="A31" s="13">
        <v>1994</v>
      </c>
      <c r="C31">
        <v>11.060318601975831</v>
      </c>
      <c r="D31" s="1">
        <f aca="true" t="shared" si="2" ref="D31:D39">EXP(0.134*4+0.101*4+(C31-8)*0.068)</f>
        <v>3.152203288298117</v>
      </c>
    </row>
    <row r="32" spans="1:4" ht="12.75">
      <c r="A32" s="13">
        <v>1995</v>
      </c>
      <c r="C32">
        <v>11.054638990294388</v>
      </c>
      <c r="D32" s="1">
        <f t="shared" si="2"/>
        <v>3.1509860995986</v>
      </c>
    </row>
    <row r="33" spans="1:4" ht="12.75">
      <c r="A33" s="13">
        <v>1996</v>
      </c>
      <c r="C33">
        <v>11.114283793713515</v>
      </c>
      <c r="D33" s="1">
        <f t="shared" si="2"/>
        <v>3.1637919677236788</v>
      </c>
    </row>
    <row r="34" spans="1:4" ht="12.75">
      <c r="A34" s="13">
        <v>1997</v>
      </c>
      <c r="C34">
        <v>11.088032436956896</v>
      </c>
      <c r="D34" s="1">
        <f t="shared" si="2"/>
        <v>3.1581493449710605</v>
      </c>
    </row>
    <row r="35" spans="1:4" ht="12.75">
      <c r="A35" s="13">
        <v>1998</v>
      </c>
      <c r="C35">
        <v>11.223232282862782</v>
      </c>
      <c r="D35" s="1">
        <f t="shared" si="2"/>
        <v>3.1873179503399776</v>
      </c>
    </row>
    <row r="36" spans="1:4" ht="12.75">
      <c r="A36" s="13">
        <v>1999</v>
      </c>
      <c r="C36">
        <v>11.340527082827302</v>
      </c>
      <c r="D36" s="1">
        <f t="shared" si="2"/>
        <v>3.212841800589576</v>
      </c>
    </row>
    <row r="37" spans="1:4" ht="12.75">
      <c r="A37" s="13">
        <v>2000</v>
      </c>
      <c r="C37">
        <v>11.42267180746884</v>
      </c>
      <c r="D37" s="1">
        <f t="shared" si="2"/>
        <v>3.2308384413270135</v>
      </c>
    </row>
    <row r="38" spans="1:4" ht="12.75">
      <c r="A38">
        <v>2001</v>
      </c>
      <c r="C38">
        <v>11.44772438802509</v>
      </c>
      <c r="D38" s="1">
        <f t="shared" si="2"/>
        <v>3.2363471093520966</v>
      </c>
    </row>
    <row r="39" spans="1:4" ht="12.75">
      <c r="A39">
        <v>2002</v>
      </c>
      <c r="C39">
        <v>11.575058748158742</v>
      </c>
      <c r="D39" s="1">
        <f t="shared" si="2"/>
        <v>3.2644914575663067</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43"/>
  <sheetViews>
    <sheetView workbookViewId="0" topLeftCell="A1">
      <selection activeCell="A36" sqref="A36"/>
    </sheetView>
  </sheetViews>
  <sheetFormatPr defaultColWidth="9.140625" defaultRowHeight="12.75"/>
  <cols>
    <col min="1" max="3" width="9.140625" style="23" customWidth="1"/>
    <col min="4" max="4" width="11.8515625" style="23" bestFit="1" customWidth="1"/>
    <col min="5" max="5" width="10.7109375" style="23" bestFit="1" customWidth="1"/>
    <col min="6" max="6" width="10.28125" style="23" bestFit="1" customWidth="1"/>
    <col min="7" max="8" width="9.140625" style="23" customWidth="1"/>
    <col min="9" max="9" width="10.7109375" style="23" bestFit="1" customWidth="1"/>
    <col min="10" max="16384" width="9.140625" style="23" customWidth="1"/>
  </cols>
  <sheetData>
    <row r="1" ht="12.75">
      <c r="A1" s="24" t="s">
        <v>231</v>
      </c>
    </row>
    <row r="2" spans="1:10" ht="12.75">
      <c r="A2" s="31"/>
      <c r="B2" s="31"/>
      <c r="C2" s="31"/>
      <c r="D2" s="31"/>
      <c r="E2" s="31"/>
      <c r="F2" s="31"/>
      <c r="G2" s="31"/>
      <c r="H2" s="31"/>
      <c r="I2" s="31"/>
      <c r="J2" s="31"/>
    </row>
    <row r="3" spans="1:10" ht="12.75">
      <c r="A3" s="32"/>
      <c r="B3" s="33"/>
      <c r="C3" s="34" t="s">
        <v>209</v>
      </c>
      <c r="D3" s="35"/>
      <c r="E3" s="35"/>
      <c r="F3" s="35"/>
      <c r="G3" s="35"/>
      <c r="H3" s="35"/>
      <c r="I3" s="35"/>
      <c r="J3" s="36"/>
    </row>
    <row r="4" spans="1:10" ht="12.75">
      <c r="A4" s="37"/>
      <c r="B4" s="38" t="s">
        <v>210</v>
      </c>
      <c r="C4" s="39" t="s">
        <v>211</v>
      </c>
      <c r="D4" s="40"/>
      <c r="E4" s="40"/>
      <c r="F4" s="40"/>
      <c r="G4" s="40"/>
      <c r="H4" s="40"/>
      <c r="I4" s="40"/>
      <c r="J4" s="41"/>
    </row>
    <row r="5" spans="1:10" ht="12.75">
      <c r="A5" s="37"/>
      <c r="B5" s="38"/>
      <c r="C5" s="42" t="s">
        <v>212</v>
      </c>
      <c r="D5" s="43"/>
      <c r="E5" s="43"/>
      <c r="F5" s="43"/>
      <c r="G5" s="43"/>
      <c r="H5" s="43"/>
      <c r="I5" s="43"/>
      <c r="J5" s="44"/>
    </row>
    <row r="6" spans="1:10" ht="12.75">
      <c r="A6" s="37"/>
      <c r="B6" s="38"/>
      <c r="C6" s="45" t="s">
        <v>213</v>
      </c>
      <c r="D6" s="40" t="s">
        <v>214</v>
      </c>
      <c r="E6" s="45" t="s">
        <v>215</v>
      </c>
      <c r="F6" s="40" t="s">
        <v>216</v>
      </c>
      <c r="G6" s="45" t="s">
        <v>217</v>
      </c>
      <c r="H6" s="40" t="s">
        <v>218</v>
      </c>
      <c r="I6" s="45" t="s">
        <v>219</v>
      </c>
      <c r="J6" s="41" t="s">
        <v>220</v>
      </c>
    </row>
    <row r="7" spans="1:12" ht="12.75">
      <c r="A7" s="37"/>
      <c r="B7" s="46" t="s">
        <v>61</v>
      </c>
      <c r="C7" s="47" t="s">
        <v>221</v>
      </c>
      <c r="D7" s="48" t="s">
        <v>222</v>
      </c>
      <c r="E7" s="47" t="s">
        <v>223</v>
      </c>
      <c r="F7" s="48" t="s">
        <v>224</v>
      </c>
      <c r="G7" s="47" t="s">
        <v>225</v>
      </c>
      <c r="H7" s="48" t="s">
        <v>226</v>
      </c>
      <c r="I7" s="47" t="s">
        <v>62</v>
      </c>
      <c r="J7" s="49" t="s">
        <v>63</v>
      </c>
      <c r="L7" s="24" t="s">
        <v>227</v>
      </c>
    </row>
    <row r="8" spans="1:13" ht="12.75">
      <c r="A8" s="37"/>
      <c r="B8" s="46"/>
      <c r="C8" s="47" t="s">
        <v>228</v>
      </c>
      <c r="D8" s="48" t="s">
        <v>228</v>
      </c>
      <c r="E8" s="47" t="s">
        <v>229</v>
      </c>
      <c r="F8" s="48" t="s">
        <v>230</v>
      </c>
      <c r="G8" s="47" t="s">
        <v>226</v>
      </c>
      <c r="H8" s="48" t="s">
        <v>64</v>
      </c>
      <c r="I8" s="47" t="s">
        <v>64</v>
      </c>
      <c r="J8" s="49" t="s">
        <v>64</v>
      </c>
      <c r="L8" s="24" t="s">
        <v>65</v>
      </c>
      <c r="M8" s="24" t="s">
        <v>66</v>
      </c>
    </row>
    <row r="9" spans="1:10" ht="12.75">
      <c r="A9" s="50"/>
      <c r="B9" s="51"/>
      <c r="C9" s="51"/>
      <c r="D9" s="52"/>
      <c r="E9" s="53" t="s">
        <v>228</v>
      </c>
      <c r="F9" s="54" t="s">
        <v>228</v>
      </c>
      <c r="G9" s="53" t="s">
        <v>64</v>
      </c>
      <c r="H9" s="52"/>
      <c r="I9" s="51"/>
      <c r="J9" s="55"/>
    </row>
    <row r="10" spans="1:10" ht="12.75">
      <c r="A10" s="56"/>
      <c r="B10" s="56"/>
      <c r="C10" s="56"/>
      <c r="D10" s="56"/>
      <c r="E10" s="56"/>
      <c r="F10" s="56"/>
      <c r="G10" s="56"/>
      <c r="H10" s="56"/>
      <c r="I10" s="56"/>
      <c r="J10" s="56"/>
    </row>
    <row r="11" spans="1:13" ht="12.75">
      <c r="A11" s="57">
        <v>1981</v>
      </c>
      <c r="B11" s="56">
        <v>145</v>
      </c>
      <c r="C11" s="56">
        <v>249</v>
      </c>
      <c r="D11" s="56">
        <v>196</v>
      </c>
      <c r="E11" s="56">
        <v>157</v>
      </c>
      <c r="F11" s="56">
        <v>125</v>
      </c>
      <c r="G11" s="56">
        <v>168</v>
      </c>
      <c r="H11" s="56">
        <v>133</v>
      </c>
      <c r="I11" s="56">
        <v>110</v>
      </c>
      <c r="J11" s="56">
        <v>100</v>
      </c>
      <c r="L11" s="58">
        <f aca="true" t="shared" si="0" ref="L11:L21">B11/169</f>
        <v>0.8579881656804734</v>
      </c>
      <c r="M11" s="58">
        <f aca="true" t="shared" si="1" ref="M11:M21">(B11/I11)*(106/169)</f>
        <v>0.8267885960193652</v>
      </c>
    </row>
    <row r="12" spans="1:13" ht="12.75">
      <c r="A12" s="57">
        <v>1982</v>
      </c>
      <c r="B12" s="56">
        <f>(B11+B13)/2</f>
        <v>143.5</v>
      </c>
      <c r="C12" s="56">
        <f aca="true" t="shared" si="2" ref="C12:J12">(C11+C13)/2</f>
        <v>242.5</v>
      </c>
      <c r="D12" s="56">
        <f t="shared" si="2"/>
        <v>191</v>
      </c>
      <c r="E12" s="56">
        <f t="shared" si="2"/>
        <v>154.5</v>
      </c>
      <c r="F12" s="56">
        <f t="shared" si="2"/>
        <v>123</v>
      </c>
      <c r="G12" s="56">
        <f t="shared" si="2"/>
        <v>164</v>
      </c>
      <c r="H12" s="56">
        <f t="shared" si="2"/>
        <v>133</v>
      </c>
      <c r="I12" s="56">
        <f t="shared" si="2"/>
        <v>110.5</v>
      </c>
      <c r="J12" s="56">
        <f t="shared" si="2"/>
        <v>100</v>
      </c>
      <c r="L12" s="58">
        <f t="shared" si="0"/>
        <v>0.849112426035503</v>
      </c>
      <c r="M12" s="58">
        <f t="shared" si="1"/>
        <v>0.8145331869661838</v>
      </c>
    </row>
    <row r="13" spans="1:13" ht="12.75">
      <c r="A13" s="57">
        <v>1983</v>
      </c>
      <c r="B13" s="56">
        <v>142</v>
      </c>
      <c r="C13" s="56">
        <v>236</v>
      </c>
      <c r="D13" s="56">
        <v>186</v>
      </c>
      <c r="E13" s="56">
        <v>152</v>
      </c>
      <c r="F13" s="56">
        <v>121</v>
      </c>
      <c r="G13" s="56">
        <v>160</v>
      </c>
      <c r="H13" s="56">
        <v>133</v>
      </c>
      <c r="I13" s="56">
        <v>111</v>
      </c>
      <c r="J13" s="56">
        <v>100</v>
      </c>
      <c r="L13" s="58">
        <f t="shared" si="0"/>
        <v>0.8402366863905325</v>
      </c>
      <c r="M13" s="58">
        <f t="shared" si="1"/>
        <v>0.8023881870035716</v>
      </c>
    </row>
    <row r="14" spans="1:13" ht="12.75">
      <c r="A14" s="57">
        <v>1984</v>
      </c>
      <c r="B14" s="56">
        <f>(B13+B15)/2</f>
        <v>144.5</v>
      </c>
      <c r="C14" s="56">
        <f aca="true" t="shared" si="3" ref="C14:J14">(C13+C15)/2</f>
        <v>241.5</v>
      </c>
      <c r="D14" s="56">
        <f t="shared" si="3"/>
        <v>190</v>
      </c>
      <c r="E14" s="56">
        <f t="shared" si="3"/>
        <v>154.5</v>
      </c>
      <c r="F14" s="56">
        <f t="shared" si="3"/>
        <v>123.5</v>
      </c>
      <c r="G14" s="56">
        <f t="shared" si="3"/>
        <v>161</v>
      </c>
      <c r="H14" s="56">
        <f t="shared" si="3"/>
        <v>134.5</v>
      </c>
      <c r="I14" s="56">
        <f t="shared" si="3"/>
        <v>111.5</v>
      </c>
      <c r="J14" s="56">
        <f t="shared" si="3"/>
        <v>100</v>
      </c>
      <c r="L14" s="58">
        <f t="shared" si="0"/>
        <v>0.8550295857988166</v>
      </c>
      <c r="M14" s="58">
        <f t="shared" si="1"/>
        <v>0.8128532385172605</v>
      </c>
    </row>
    <row r="15" spans="1:13" ht="12.75">
      <c r="A15" s="57">
        <v>1985</v>
      </c>
      <c r="B15" s="56">
        <v>147</v>
      </c>
      <c r="C15" s="56">
        <v>247</v>
      </c>
      <c r="D15" s="56">
        <v>194</v>
      </c>
      <c r="E15" s="56">
        <v>157</v>
      </c>
      <c r="F15" s="56">
        <v>126</v>
      </c>
      <c r="G15" s="56">
        <v>162</v>
      </c>
      <c r="H15" s="56">
        <v>136</v>
      </c>
      <c r="I15" s="56">
        <v>112</v>
      </c>
      <c r="J15" s="56">
        <v>100</v>
      </c>
      <c r="L15" s="58">
        <f t="shared" si="0"/>
        <v>0.8698224852071006</v>
      </c>
      <c r="M15" s="58">
        <f t="shared" si="1"/>
        <v>0.8232248520710059</v>
      </c>
    </row>
    <row r="16" spans="1:13" ht="12.75">
      <c r="A16" s="57">
        <v>1986</v>
      </c>
      <c r="B16" s="56">
        <v>135</v>
      </c>
      <c r="C16" s="56">
        <v>224</v>
      </c>
      <c r="D16" s="56">
        <v>173</v>
      </c>
      <c r="E16" s="56">
        <v>142</v>
      </c>
      <c r="F16" s="56">
        <v>114</v>
      </c>
      <c r="G16" s="56">
        <v>143</v>
      </c>
      <c r="H16" s="56">
        <v>123</v>
      </c>
      <c r="I16" s="56">
        <v>104</v>
      </c>
      <c r="J16" s="56">
        <v>100</v>
      </c>
      <c r="L16" s="58">
        <f t="shared" si="0"/>
        <v>0.7988165680473372</v>
      </c>
      <c r="M16" s="58">
        <f t="shared" si="1"/>
        <v>0.8141784251251707</v>
      </c>
    </row>
    <row r="17" spans="1:13" ht="12.75">
      <c r="A17" s="57">
        <v>1987</v>
      </c>
      <c r="B17" s="56">
        <f>(B16+B18)/2</f>
        <v>136</v>
      </c>
      <c r="C17" s="56">
        <f aca="true" t="shared" si="4" ref="C17:J17">(C16+C18)/2</f>
        <v>226</v>
      </c>
      <c r="D17" s="56">
        <f t="shared" si="4"/>
        <v>176.5</v>
      </c>
      <c r="E17" s="56">
        <f t="shared" si="4"/>
        <v>144</v>
      </c>
      <c r="F17" s="56">
        <f t="shared" si="4"/>
        <v>117.5</v>
      </c>
      <c r="G17" s="56">
        <f t="shared" si="4"/>
        <v>144.5</v>
      </c>
      <c r="H17" s="56">
        <f t="shared" si="4"/>
        <v>122.5</v>
      </c>
      <c r="I17" s="56">
        <f t="shared" si="4"/>
        <v>105.5</v>
      </c>
      <c r="J17" s="56">
        <f t="shared" si="4"/>
        <v>100</v>
      </c>
      <c r="L17" s="58">
        <f t="shared" si="0"/>
        <v>0.8047337278106509</v>
      </c>
      <c r="M17" s="58">
        <f t="shared" si="1"/>
        <v>0.8085476317339241</v>
      </c>
    </row>
    <row r="18" spans="1:13" ht="12.75">
      <c r="A18" s="57">
        <v>1988</v>
      </c>
      <c r="B18" s="56">
        <v>137</v>
      </c>
      <c r="C18" s="56">
        <v>228</v>
      </c>
      <c r="D18" s="56">
        <v>180</v>
      </c>
      <c r="E18" s="56">
        <v>146</v>
      </c>
      <c r="F18" s="56">
        <v>121</v>
      </c>
      <c r="G18" s="56">
        <v>146</v>
      </c>
      <c r="H18" s="56">
        <v>122</v>
      </c>
      <c r="I18" s="56">
        <v>107</v>
      </c>
      <c r="J18" s="56">
        <v>100</v>
      </c>
      <c r="L18" s="58">
        <f t="shared" si="0"/>
        <v>0.8106508875739645</v>
      </c>
      <c r="M18" s="58">
        <f t="shared" si="1"/>
        <v>0.8030747110545816</v>
      </c>
    </row>
    <row r="19" spans="1:13" ht="12.75">
      <c r="A19" s="57">
        <v>1989</v>
      </c>
      <c r="B19" s="56">
        <f>(B18+B20)/2</f>
        <v>142</v>
      </c>
      <c r="C19" s="56">
        <f aca="true" t="shared" si="5" ref="C19:J19">(C18+C20)/2</f>
        <v>246</v>
      </c>
      <c r="D19" s="56">
        <f t="shared" si="5"/>
        <v>192</v>
      </c>
      <c r="E19" s="56">
        <f t="shared" si="5"/>
        <v>154.5</v>
      </c>
      <c r="F19" s="56">
        <f t="shared" si="5"/>
        <v>125.5</v>
      </c>
      <c r="G19" s="56">
        <f t="shared" si="5"/>
        <v>144</v>
      </c>
      <c r="H19" s="56">
        <f t="shared" si="5"/>
        <v>125.5</v>
      </c>
      <c r="I19" s="56">
        <f t="shared" si="5"/>
        <v>107</v>
      </c>
      <c r="J19" s="56">
        <f t="shared" si="5"/>
        <v>100</v>
      </c>
      <c r="L19" s="58">
        <f t="shared" si="0"/>
        <v>0.8402366863905325</v>
      </c>
      <c r="M19" s="58">
        <f t="shared" si="1"/>
        <v>0.8323840070784714</v>
      </c>
    </row>
    <row r="20" spans="1:13" ht="12.75">
      <c r="A20" s="57">
        <v>1990</v>
      </c>
      <c r="B20" s="56">
        <v>147</v>
      </c>
      <c r="C20" s="56">
        <v>264</v>
      </c>
      <c r="D20" s="56">
        <v>204</v>
      </c>
      <c r="E20" s="56">
        <v>163</v>
      </c>
      <c r="F20" s="56">
        <v>130</v>
      </c>
      <c r="G20" s="56">
        <v>142</v>
      </c>
      <c r="H20" s="56">
        <v>129</v>
      </c>
      <c r="I20" s="56">
        <v>107</v>
      </c>
      <c r="J20" s="56">
        <v>100</v>
      </c>
      <c r="L20" s="58">
        <f t="shared" si="0"/>
        <v>0.8698224852071006</v>
      </c>
      <c r="M20" s="58">
        <f t="shared" si="1"/>
        <v>0.8616933031023614</v>
      </c>
    </row>
    <row r="21" spans="1:13" ht="12.75">
      <c r="A21" s="57">
        <v>1991</v>
      </c>
      <c r="B21" s="56">
        <v>151</v>
      </c>
      <c r="C21" s="56">
        <v>279</v>
      </c>
      <c r="D21" s="56">
        <v>200</v>
      </c>
      <c r="E21" s="56">
        <v>163</v>
      </c>
      <c r="F21" s="56">
        <v>133</v>
      </c>
      <c r="G21" s="56">
        <v>141</v>
      </c>
      <c r="H21" s="56">
        <v>130</v>
      </c>
      <c r="I21" s="56">
        <v>107</v>
      </c>
      <c r="J21" s="56">
        <v>100</v>
      </c>
      <c r="L21" s="58">
        <f t="shared" si="0"/>
        <v>0.893491124260355</v>
      </c>
      <c r="M21" s="58">
        <f t="shared" si="1"/>
        <v>0.8851407399214732</v>
      </c>
    </row>
    <row r="22" spans="1:13" ht="12.75">
      <c r="A22" s="57">
        <v>1992</v>
      </c>
      <c r="B22" s="56">
        <v>157</v>
      </c>
      <c r="C22" s="56">
        <v>290</v>
      </c>
      <c r="D22" s="56">
        <v>205</v>
      </c>
      <c r="E22" s="56">
        <v>167</v>
      </c>
      <c r="F22" s="56">
        <v>133</v>
      </c>
      <c r="G22" s="56">
        <v>145</v>
      </c>
      <c r="H22" s="56">
        <v>132</v>
      </c>
      <c r="I22" s="56">
        <v>108</v>
      </c>
      <c r="J22" s="56">
        <v>100</v>
      </c>
      <c r="L22" s="58">
        <f aca="true" t="shared" si="6" ref="L22:L31">B22/169</f>
        <v>0.9289940828402367</v>
      </c>
      <c r="M22" s="58">
        <f aca="true" t="shared" si="7" ref="M22:M31">(B22/I22)*(106/169)</f>
        <v>0.9117904887135656</v>
      </c>
    </row>
    <row r="23" spans="1:13" ht="12.75">
      <c r="A23" s="57">
        <v>1993</v>
      </c>
      <c r="B23" s="56">
        <v>169</v>
      </c>
      <c r="C23" s="56">
        <v>330</v>
      </c>
      <c r="D23" s="56">
        <v>226</v>
      </c>
      <c r="E23" s="56">
        <v>174</v>
      </c>
      <c r="F23" s="56">
        <v>133</v>
      </c>
      <c r="G23" s="56">
        <v>148</v>
      </c>
      <c r="H23" s="56">
        <v>135</v>
      </c>
      <c r="I23" s="56">
        <v>106</v>
      </c>
      <c r="J23" s="56">
        <v>100</v>
      </c>
      <c r="L23" s="58">
        <f t="shared" si="6"/>
        <v>1</v>
      </c>
      <c r="M23" s="58">
        <f t="shared" si="7"/>
        <v>1</v>
      </c>
    </row>
    <row r="24" spans="1:13" ht="12.75">
      <c r="A24" s="57">
        <v>1994</v>
      </c>
      <c r="B24" s="56">
        <v>170</v>
      </c>
      <c r="C24" s="56">
        <v>341</v>
      </c>
      <c r="D24" s="56">
        <v>222</v>
      </c>
      <c r="E24" s="56">
        <v>173</v>
      </c>
      <c r="F24" s="56">
        <v>136</v>
      </c>
      <c r="G24" s="56">
        <v>150</v>
      </c>
      <c r="H24" s="56">
        <v>133</v>
      </c>
      <c r="I24" s="56">
        <v>107</v>
      </c>
      <c r="J24" s="56">
        <v>100</v>
      </c>
      <c r="L24" s="58">
        <f t="shared" si="6"/>
        <v>1.0059171597633136</v>
      </c>
      <c r="M24" s="58">
        <f t="shared" si="7"/>
        <v>0.9965160648122545</v>
      </c>
    </row>
    <row r="25" spans="1:13" ht="12.75">
      <c r="A25" s="57">
        <v>1995</v>
      </c>
      <c r="B25" s="56">
        <v>174</v>
      </c>
      <c r="C25" s="56">
        <v>349</v>
      </c>
      <c r="D25" s="56">
        <v>228</v>
      </c>
      <c r="E25" s="56">
        <v>177</v>
      </c>
      <c r="F25" s="56">
        <v>135</v>
      </c>
      <c r="G25" s="56">
        <v>150</v>
      </c>
      <c r="H25" s="56">
        <v>133</v>
      </c>
      <c r="I25" s="56">
        <v>109</v>
      </c>
      <c r="J25" s="56">
        <v>100</v>
      </c>
      <c r="L25" s="58">
        <f t="shared" si="6"/>
        <v>1.029585798816568</v>
      </c>
      <c r="M25" s="58">
        <f t="shared" si="7"/>
        <v>1.0012485749959286</v>
      </c>
    </row>
    <row r="26" spans="1:13" ht="12.75">
      <c r="A26" s="57">
        <v>1996</v>
      </c>
      <c r="B26" s="59">
        <v>175.77633276430498</v>
      </c>
      <c r="C26" s="59">
        <v>353.66892974888907</v>
      </c>
      <c r="D26" s="59">
        <v>227.21171764031328</v>
      </c>
      <c r="E26" s="59">
        <v>177.09248231016824</v>
      </c>
      <c r="F26" s="59">
        <v>130.08248739232982</v>
      </c>
      <c r="G26" s="59">
        <v>148.03294283219745</v>
      </c>
      <c r="H26" s="59">
        <v>130.32095805261991</v>
      </c>
      <c r="I26" s="59">
        <v>104.42017748472094</v>
      </c>
      <c r="J26" s="56">
        <v>100</v>
      </c>
      <c r="L26" s="58">
        <f t="shared" si="6"/>
        <v>1.040096643575769</v>
      </c>
      <c r="M26" s="58">
        <f t="shared" si="7"/>
        <v>1.0558327602456303</v>
      </c>
    </row>
    <row r="27" spans="1:13" ht="12.75">
      <c r="A27" s="57">
        <v>1997</v>
      </c>
      <c r="B27" s="59">
        <v>175.0425219599711</v>
      </c>
      <c r="C27" s="59">
        <v>390.5671147976421</v>
      </c>
      <c r="D27" s="59">
        <v>228.11808290034716</v>
      </c>
      <c r="E27" s="59">
        <v>168.83198583377992</v>
      </c>
      <c r="F27" s="59">
        <v>124.76292551084602</v>
      </c>
      <c r="G27" s="59">
        <v>149.55497565180923</v>
      </c>
      <c r="H27" s="59">
        <v>131.43363079288892</v>
      </c>
      <c r="I27" s="59">
        <v>107.56657890444792</v>
      </c>
      <c r="J27" s="56">
        <v>100</v>
      </c>
      <c r="L27" s="58">
        <f t="shared" si="6"/>
        <v>1.03575456781048</v>
      </c>
      <c r="M27" s="58">
        <f t="shared" si="7"/>
        <v>1.0206700380927611</v>
      </c>
    </row>
    <row r="28" spans="1:13" ht="12.75">
      <c r="A28" s="57">
        <v>1998</v>
      </c>
      <c r="B28" s="59">
        <v>182.39642351274787</v>
      </c>
      <c r="C28" s="59">
        <v>440.3870839235127</v>
      </c>
      <c r="D28" s="59">
        <v>240.92156515580737</v>
      </c>
      <c r="E28" s="59">
        <v>178.53996990084985</v>
      </c>
      <c r="F28" s="59">
        <v>129.14084631728045</v>
      </c>
      <c r="G28" s="59">
        <v>150.34857471671387</v>
      </c>
      <c r="H28" s="59">
        <v>132.75274433427762</v>
      </c>
      <c r="I28" s="59">
        <v>111.14221848441926</v>
      </c>
      <c r="J28" s="56">
        <v>100</v>
      </c>
      <c r="L28" s="58">
        <f t="shared" si="6"/>
        <v>1.0792687781819401</v>
      </c>
      <c r="M28" s="58">
        <f t="shared" si="7"/>
        <v>1.0293342354266883</v>
      </c>
    </row>
    <row r="29" spans="1:13" ht="12.75">
      <c r="A29" s="57">
        <v>1999</v>
      </c>
      <c r="B29" s="59">
        <v>185</v>
      </c>
      <c r="C29" s="59">
        <v>371</v>
      </c>
      <c r="D29" s="59">
        <v>238.72380652276667</v>
      </c>
      <c r="E29" s="59">
        <v>181</v>
      </c>
      <c r="F29" s="59">
        <v>134.18938080983142</v>
      </c>
      <c r="G29" s="59">
        <v>153.15687201302453</v>
      </c>
      <c r="H29" s="59">
        <v>135</v>
      </c>
      <c r="I29" s="59">
        <v>117</v>
      </c>
      <c r="J29" s="56">
        <v>100</v>
      </c>
      <c r="L29" s="58">
        <f t="shared" si="6"/>
        <v>1.0946745562130178</v>
      </c>
      <c r="M29" s="58">
        <f t="shared" si="7"/>
        <v>0.9917564355434177</v>
      </c>
    </row>
    <row r="30" spans="1:13" ht="12.75">
      <c r="A30" s="57">
        <v>2000</v>
      </c>
      <c r="B30" s="59">
        <v>190.90490032831917</v>
      </c>
      <c r="C30" s="59">
        <v>366.5904665142663</v>
      </c>
      <c r="D30" s="59">
        <v>246.7135156492535</v>
      </c>
      <c r="E30" s="59">
        <v>181.1098881457022</v>
      </c>
      <c r="F30" s="59">
        <v>131.49794447737045</v>
      </c>
      <c r="G30" s="59">
        <v>146.89696046058756</v>
      </c>
      <c r="H30" s="59">
        <v>131.41515912661455</v>
      </c>
      <c r="I30" s="59">
        <v>113.58150123707655</v>
      </c>
      <c r="J30" s="59">
        <v>100</v>
      </c>
      <c r="L30" s="58">
        <f t="shared" si="6"/>
        <v>1.1296147948421253</v>
      </c>
      <c r="M30" s="58">
        <f t="shared" si="7"/>
        <v>1.0542136434993579</v>
      </c>
    </row>
    <row r="31" spans="1:13" ht="12.75">
      <c r="A31" s="60">
        <v>2001</v>
      </c>
      <c r="B31" s="61">
        <v>193.5288737012875</v>
      </c>
      <c r="C31" s="61">
        <v>366.5562113837976</v>
      </c>
      <c r="D31" s="61">
        <v>249.5003624313969</v>
      </c>
      <c r="E31" s="61">
        <v>180.44337440889166</v>
      </c>
      <c r="F31" s="61">
        <v>130.69448759103932</v>
      </c>
      <c r="G31" s="61">
        <v>140.5146525836181</v>
      </c>
      <c r="H31" s="61">
        <v>133.08912360636498</v>
      </c>
      <c r="I31" s="61">
        <v>113.36681509095303</v>
      </c>
      <c r="J31" s="61">
        <v>100</v>
      </c>
      <c r="L31" s="58">
        <f t="shared" si="6"/>
        <v>1.1451412645046597</v>
      </c>
      <c r="M31" s="58">
        <f t="shared" si="7"/>
        <v>1.0707275664409204</v>
      </c>
    </row>
    <row r="32" spans="1:10" ht="12.75">
      <c r="A32" s="57"/>
      <c r="B32" s="59"/>
      <c r="C32" s="59"/>
      <c r="D32" s="59"/>
      <c r="E32" s="59"/>
      <c r="F32" s="59"/>
      <c r="G32" s="59"/>
      <c r="H32" s="59"/>
      <c r="I32" s="59"/>
      <c r="J32" s="59"/>
    </row>
    <row r="33" spans="2:13" ht="12.75">
      <c r="B33" s="59"/>
      <c r="C33" s="62"/>
      <c r="D33" s="62"/>
      <c r="E33" s="62"/>
      <c r="F33" s="62"/>
      <c r="G33" s="62"/>
      <c r="H33" s="62"/>
      <c r="I33" s="62" t="s">
        <v>234</v>
      </c>
      <c r="J33" s="62"/>
      <c r="L33" s="23">
        <f>EXP(1/9*LN(L31/L23))-1</f>
        <v>0.015172620171082674</v>
      </c>
      <c r="M33" s="23">
        <f>EXP(1/9*LN(M31/M23))-1</f>
        <v>0.007622055101744962</v>
      </c>
    </row>
    <row r="34" spans="2:13" ht="12.75">
      <c r="B34" s="56"/>
      <c r="C34" s="56"/>
      <c r="D34" s="56"/>
      <c r="E34" s="56"/>
      <c r="F34" s="56"/>
      <c r="G34" s="56"/>
      <c r="H34" s="56"/>
      <c r="I34" s="56" t="s">
        <v>235</v>
      </c>
      <c r="J34" s="56"/>
      <c r="L34" s="23">
        <f>EXP(1/4*LN(L23/L19))-1</f>
        <v>0.0444787052811062</v>
      </c>
      <c r="M34" s="23">
        <f>EXP(1/4*LN(M23/M19))-1</f>
        <v>0.046933431269724935</v>
      </c>
    </row>
    <row r="35" spans="1:10" ht="12.75">
      <c r="A35" s="31" t="s">
        <v>232</v>
      </c>
      <c r="B35" s="56"/>
      <c r="C35" s="56"/>
      <c r="D35" s="56"/>
      <c r="E35" s="56"/>
      <c r="F35" s="56"/>
      <c r="G35" s="56"/>
      <c r="H35" s="56"/>
      <c r="I35" s="56"/>
      <c r="J35" s="56"/>
    </row>
    <row r="36" spans="1:11" ht="12.75">
      <c r="A36" s="24" t="s">
        <v>233</v>
      </c>
      <c r="B36" s="65"/>
      <c r="C36" s="65"/>
      <c r="D36" s="65"/>
      <c r="E36" s="65"/>
      <c r="F36" s="65"/>
      <c r="G36" s="65"/>
      <c r="H36" s="65"/>
      <c r="I36" s="65"/>
      <c r="J36" s="65"/>
      <c r="K36" s="24"/>
    </row>
    <row r="37" spans="1:13" ht="12.75">
      <c r="A37" s="65"/>
      <c r="B37" s="65"/>
      <c r="C37" s="65"/>
      <c r="D37" s="65"/>
      <c r="E37" s="65"/>
      <c r="F37" s="65"/>
      <c r="G37" s="65"/>
      <c r="H37" s="65"/>
      <c r="I37" s="65"/>
      <c r="J37" s="65"/>
      <c r="K37" s="24"/>
      <c r="L37" s="24"/>
      <c r="M37" s="24"/>
    </row>
    <row r="38" spans="1:11" ht="12.75">
      <c r="A38" s="65"/>
      <c r="B38" s="65"/>
      <c r="C38" s="65"/>
      <c r="D38" s="65"/>
      <c r="E38" s="65"/>
      <c r="F38" s="65"/>
      <c r="G38" s="65"/>
      <c r="H38" s="65"/>
      <c r="I38" s="65"/>
      <c r="J38" s="65"/>
      <c r="K38" s="24"/>
    </row>
    <row r="39" ht="12.75">
      <c r="A39" s="66"/>
    </row>
    <row r="41" ht="12.75">
      <c r="A41" s="24"/>
    </row>
    <row r="43" ht="12.75">
      <c r="A43" s="24"/>
    </row>
  </sheetData>
  <printOptions/>
  <pageMargins left="0.7480314960629921" right="0.7480314960629921" top="0.7874015748031497" bottom="0.7086614173228347" header="0.5118110236220472" footer="0.5118110236220472"/>
  <pageSetup fitToHeight="1" fitToWidth="1" horizontalDpi="600" verticalDpi="600" orientation="portrait" paperSize="9" scale="89" r:id="rId1"/>
  <headerFooter alignWithMargins="0">
    <oddHeader>&amp;C&amp;A&amp;R&amp;F</oddHeader>
    <oddFooter>&amp;RSamo GROŠELJ,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Egbert Jongen</dc:creator>
  <cp:keywords/>
  <dc:description/>
  <cp:lastModifiedBy>Egbert Jongen</cp:lastModifiedBy>
  <cp:lastPrinted>2004-09-21T14:28:38Z</cp:lastPrinted>
  <dcterms:created xsi:type="dcterms:W3CDTF">2004-03-05T08:37:19Z</dcterms:created>
  <dcterms:modified xsi:type="dcterms:W3CDTF">2004-07-17T19:30:41Z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